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8_{3A295AFB-E8EE-4DF6-857B-C55301D85E9C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pl" sheetId="1" r:id="rId1"/>
    <sheet name="b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0" i="2" l="1"/>
  <c r="F50" i="2" s="1"/>
  <c r="G50" i="2" s="1"/>
  <c r="E48" i="2"/>
  <c r="F48" i="2" s="1"/>
  <c r="G48" i="2" s="1"/>
  <c r="E46" i="2"/>
  <c r="F46" i="2" s="1"/>
  <c r="G46" i="2" s="1"/>
  <c r="P45" i="2"/>
  <c r="Q45" i="2"/>
  <c r="R45" i="2"/>
  <c r="S45" i="2"/>
  <c r="O45" i="2"/>
  <c r="O44" i="2" s="1"/>
  <c r="P44" i="2" s="1"/>
  <c r="N45" i="2"/>
  <c r="M47" i="2" s="1"/>
  <c r="E38" i="2"/>
  <c r="F38" i="2" s="1"/>
  <c r="E39" i="2"/>
  <c r="F39" i="2" s="1"/>
  <c r="E37" i="2"/>
  <c r="F37" i="2" s="1"/>
  <c r="G37" i="2" s="1"/>
  <c r="E35" i="2"/>
  <c r="E34" i="2"/>
  <c r="F34" i="2" s="1"/>
  <c r="E44" i="2"/>
  <c r="F44" i="2" s="1"/>
  <c r="G44" i="2" s="1"/>
  <c r="P13" i="2"/>
  <c r="P14" i="2"/>
  <c r="O13" i="2"/>
  <c r="O14" i="2"/>
  <c r="E31" i="2"/>
  <c r="F31" i="2" s="1"/>
  <c r="G31" i="2" s="1"/>
  <c r="E26" i="2"/>
  <c r="E27" i="2"/>
  <c r="F27" i="2" s="1"/>
  <c r="E25" i="2"/>
  <c r="F25" i="2" s="1"/>
  <c r="E24" i="2"/>
  <c r="F24" i="2" s="1"/>
  <c r="N22" i="2"/>
  <c r="M22" i="2"/>
  <c r="E17" i="2"/>
  <c r="F17" i="2" s="1"/>
  <c r="G17" i="2" s="1"/>
  <c r="E18" i="2"/>
  <c r="F18" i="2" s="1"/>
  <c r="E19" i="2"/>
  <c r="F19" i="2" s="1"/>
  <c r="G19" i="2" s="1"/>
  <c r="E16" i="2"/>
  <c r="F14" i="2"/>
  <c r="G14" i="2"/>
  <c r="H14" i="2"/>
  <c r="I14" i="2"/>
  <c r="E14" i="2"/>
  <c r="O4" i="2"/>
  <c r="O11" i="2"/>
  <c r="P4" i="2"/>
  <c r="P5" i="2"/>
  <c r="P6" i="2"/>
  <c r="P7" i="2"/>
  <c r="P8" i="2"/>
  <c r="P9" i="2"/>
  <c r="P10" i="2"/>
  <c r="P11" i="2"/>
  <c r="P3" i="2"/>
  <c r="O5" i="2"/>
  <c r="Q5" i="2" s="1"/>
  <c r="V5" i="2" s="1"/>
  <c r="O6" i="2"/>
  <c r="Q6" i="2" s="1"/>
  <c r="R6" i="2" s="1"/>
  <c r="O7" i="2"/>
  <c r="Q7" i="2" s="1"/>
  <c r="V7" i="2" s="1"/>
  <c r="O8" i="2"/>
  <c r="Q8" i="2" s="1"/>
  <c r="V8" i="2" s="1"/>
  <c r="O9" i="2"/>
  <c r="Q9" i="2" s="1"/>
  <c r="V9" i="2" s="1"/>
  <c r="O10" i="2"/>
  <c r="Q10" i="2" s="1"/>
  <c r="V10" i="2" s="1"/>
  <c r="O3" i="2"/>
  <c r="F19" i="1"/>
  <c r="E19" i="1"/>
  <c r="B41" i="1"/>
  <c r="C40" i="1"/>
  <c r="D40" i="1"/>
  <c r="B40" i="1"/>
  <c r="E13" i="1"/>
  <c r="F13" i="1" s="1"/>
  <c r="E14" i="1"/>
  <c r="E15" i="1"/>
  <c r="F15" i="1" s="1"/>
  <c r="E12" i="1"/>
  <c r="F12" i="1" s="1"/>
  <c r="G12" i="1" s="1"/>
  <c r="H12" i="1" s="1"/>
  <c r="C34" i="1"/>
  <c r="D34" i="1"/>
  <c r="B34" i="1"/>
  <c r="B35" i="1" s="1"/>
  <c r="Q44" i="2" l="1"/>
  <c r="R44" i="2"/>
  <c r="S44" i="2" s="1"/>
  <c r="Q13" i="2"/>
  <c r="U13" i="2" s="1"/>
  <c r="Q14" i="2"/>
  <c r="R14" i="2" s="1"/>
  <c r="G47" i="2"/>
  <c r="M23" i="2"/>
  <c r="E36" i="2"/>
  <c r="E47" i="2"/>
  <c r="E49" i="2" s="1"/>
  <c r="F47" i="2"/>
  <c r="H50" i="2"/>
  <c r="I50" i="2" s="1"/>
  <c r="H48" i="2"/>
  <c r="I48" i="2" s="1"/>
  <c r="H46" i="2"/>
  <c r="I46" i="2" s="1"/>
  <c r="T13" i="2"/>
  <c r="G34" i="2"/>
  <c r="T14" i="2"/>
  <c r="G38" i="2"/>
  <c r="H38" i="2" s="1"/>
  <c r="Q11" i="2"/>
  <c r="V11" i="2" s="1"/>
  <c r="E20" i="2"/>
  <c r="E21" i="2" s="1"/>
  <c r="E22" i="2" s="1"/>
  <c r="E28" i="2" s="1"/>
  <c r="F35" i="2"/>
  <c r="G39" i="2"/>
  <c r="H39" i="2" s="1"/>
  <c r="G25" i="2"/>
  <c r="F26" i="2"/>
  <c r="G26" i="2" s="1"/>
  <c r="H26" i="2" s="1"/>
  <c r="H37" i="2"/>
  <c r="I37" i="2" s="1"/>
  <c r="H44" i="2"/>
  <c r="G27" i="2"/>
  <c r="H27" i="2" s="1"/>
  <c r="I27" i="2" s="1"/>
  <c r="Q4" i="2"/>
  <c r="S4" i="2" s="1"/>
  <c r="F16" i="2"/>
  <c r="G16" i="2" s="1"/>
  <c r="H31" i="2"/>
  <c r="H25" i="2"/>
  <c r="I25" i="2" s="1"/>
  <c r="G24" i="2"/>
  <c r="H24" i="2" s="1"/>
  <c r="Q3" i="2"/>
  <c r="R10" i="2"/>
  <c r="S10" i="2"/>
  <c r="S6" i="2"/>
  <c r="T10" i="2"/>
  <c r="T6" i="2"/>
  <c r="U10" i="2"/>
  <c r="U6" i="2"/>
  <c r="V6" i="2"/>
  <c r="R7" i="2"/>
  <c r="S7" i="2"/>
  <c r="T7" i="2"/>
  <c r="U7" i="2"/>
  <c r="R8" i="2"/>
  <c r="S8" i="2"/>
  <c r="T8" i="2"/>
  <c r="U8" i="2"/>
  <c r="R9" i="2"/>
  <c r="R5" i="2"/>
  <c r="S9" i="2"/>
  <c r="S5" i="2"/>
  <c r="T9" i="2"/>
  <c r="T5" i="2"/>
  <c r="U9" i="2"/>
  <c r="U5" i="2"/>
  <c r="F20" i="2"/>
  <c r="H19" i="2"/>
  <c r="I19" i="2" s="1"/>
  <c r="G18" i="2"/>
  <c r="H18" i="2" s="1"/>
  <c r="H17" i="2"/>
  <c r="I17" i="2" s="1"/>
  <c r="G19" i="1"/>
  <c r="H19" i="1" s="1"/>
  <c r="I19" i="1" s="1"/>
  <c r="G14" i="1"/>
  <c r="F14" i="1"/>
  <c r="G15" i="1"/>
  <c r="H15" i="1" s="1"/>
  <c r="I15" i="1" s="1"/>
  <c r="G13" i="1"/>
  <c r="H13" i="1" s="1"/>
  <c r="I13" i="1" s="1"/>
  <c r="I12" i="1"/>
  <c r="C30" i="1"/>
  <c r="D30" i="1"/>
  <c r="B30" i="1"/>
  <c r="E6" i="1"/>
  <c r="E9" i="1" s="1"/>
  <c r="V14" i="2" l="1"/>
  <c r="B31" i="1"/>
  <c r="S14" i="2"/>
  <c r="H16" i="2"/>
  <c r="I16" i="2" s="1"/>
  <c r="U14" i="2"/>
  <c r="V13" i="2"/>
  <c r="R13" i="2"/>
  <c r="S13" i="2"/>
  <c r="U11" i="2"/>
  <c r="F49" i="2"/>
  <c r="E51" i="2"/>
  <c r="E52" i="2" s="1"/>
  <c r="G35" i="2"/>
  <c r="H35" i="2" s="1"/>
  <c r="I35" i="2" s="1"/>
  <c r="F36" i="2"/>
  <c r="I44" i="2"/>
  <c r="I47" i="2" s="1"/>
  <c r="H47" i="2"/>
  <c r="I31" i="2"/>
  <c r="T11" i="2"/>
  <c r="I26" i="2"/>
  <c r="H34" i="2"/>
  <c r="I34" i="2" s="1"/>
  <c r="S11" i="2"/>
  <c r="I39" i="2"/>
  <c r="I38" i="2"/>
  <c r="R11" i="2"/>
  <c r="F28" i="2"/>
  <c r="G28" i="2" s="1"/>
  <c r="G20" i="2"/>
  <c r="H20" i="2" s="1"/>
  <c r="F21" i="2"/>
  <c r="F22" i="2" s="1"/>
  <c r="U4" i="2"/>
  <c r="V4" i="2"/>
  <c r="T4" i="2"/>
  <c r="R4" i="2"/>
  <c r="I24" i="2"/>
  <c r="V3" i="2"/>
  <c r="R3" i="2"/>
  <c r="S3" i="2"/>
  <c r="U3" i="2"/>
  <c r="T3" i="2"/>
  <c r="I18" i="2"/>
  <c r="F6" i="1"/>
  <c r="H14" i="1"/>
  <c r="I14" i="1" s="1"/>
  <c r="E7" i="1"/>
  <c r="E8" i="1" s="1"/>
  <c r="E11" i="1" s="1"/>
  <c r="E16" i="1" s="1"/>
  <c r="E18" i="1" l="1"/>
  <c r="E20" i="1" s="1"/>
  <c r="E17" i="1"/>
  <c r="G21" i="2"/>
  <c r="G22" i="2" s="1"/>
  <c r="G36" i="2"/>
  <c r="F51" i="2"/>
  <c r="F52" i="2" s="1"/>
  <c r="G49" i="2"/>
  <c r="H36" i="2"/>
  <c r="H28" i="2"/>
  <c r="I28" i="2" s="1"/>
  <c r="I36" i="2"/>
  <c r="I20" i="2"/>
  <c r="F16" i="1"/>
  <c r="F9" i="1"/>
  <c r="G6" i="1"/>
  <c r="F7" i="1"/>
  <c r="F8" i="1" s="1"/>
  <c r="H21" i="2" l="1"/>
  <c r="I21" i="2" s="1"/>
  <c r="F17" i="1"/>
  <c r="G17" i="1"/>
  <c r="H17" i="1" s="1"/>
  <c r="H22" i="2"/>
  <c r="H49" i="2"/>
  <c r="H51" i="2" s="1"/>
  <c r="H52" i="2" s="1"/>
  <c r="G51" i="2"/>
  <c r="G52" i="2" s="1"/>
  <c r="I22" i="2"/>
  <c r="G9" i="1"/>
  <c r="G7" i="1"/>
  <c r="G8" i="1" s="1"/>
  <c r="H6" i="1"/>
  <c r="I6" i="1" s="1"/>
  <c r="F11" i="1"/>
  <c r="G16" i="1"/>
  <c r="I17" i="1" l="1"/>
  <c r="F18" i="1"/>
  <c r="F20" i="1" s="1"/>
  <c r="H16" i="1"/>
  <c r="H18" i="1" s="1"/>
  <c r="H20" i="1" s="1"/>
  <c r="G18" i="1"/>
  <c r="G20" i="1" s="1"/>
  <c r="I49" i="2"/>
  <c r="I51" i="2" s="1"/>
  <c r="I52" i="2" s="1"/>
  <c r="I9" i="1"/>
  <c r="I7" i="1"/>
  <c r="I8" i="1" s="1"/>
  <c r="I16" i="1"/>
  <c r="I18" i="1" s="1"/>
  <c r="I20" i="1" s="1"/>
  <c r="G11" i="1"/>
  <c r="H9" i="1"/>
  <c r="H7" i="1"/>
  <c r="H8" i="1" s="1"/>
  <c r="H11" i="1" l="1"/>
  <c r="I11" i="1"/>
</calcChain>
</file>

<file path=xl/sharedStrings.xml><?xml version="1.0" encoding="utf-8"?>
<sst xmlns="http://schemas.openxmlformats.org/spreadsheetml/2006/main" count="147" uniqueCount="93">
  <si>
    <t>(Dollar amounts in thousands except per share amounts)</t>
  </si>
  <si>
    <t>Net sales</t>
  </si>
  <si>
    <t>Cost of products sold</t>
  </si>
  <si>
    <t>Gross profit</t>
  </si>
  <si>
    <t>Selling, general and administrative expense</t>
  </si>
  <si>
    <t>Goodwill impairment charge</t>
  </si>
  <si>
    <t>Operating profit</t>
  </si>
  <si>
    <t>Interest expense</t>
  </si>
  <si>
    <t>Interest income</t>
  </si>
  <si>
    <t>Other pension and postretirement benefit expense</t>
  </si>
  <si>
    <t>Other non-operating (expense) income</t>
  </si>
  <si>
    <t>Income before income taxes</t>
  </si>
  <si>
    <t>Provision for income taxes</t>
  </si>
  <si>
    <t>Net income</t>
  </si>
  <si>
    <t>Net income attributable to noncontrolling shareholders' interests</t>
  </si>
  <si>
    <t>Net income attributable to Cooper Tire &amp; Rubber Company</t>
  </si>
  <si>
    <t>Earnings per share:</t>
  </si>
  <si>
    <t>Basic</t>
  </si>
  <si>
    <t>Diluted</t>
  </si>
  <si>
    <t>CONSOLIDATED BALANCE SHEETS
(Dollar amounts in thousands)</t>
  </si>
  <si>
    <t>ASSETS</t>
  </si>
  <si>
    <t>Current assets:</t>
  </si>
  <si>
    <t>Inventories:</t>
  </si>
  <si>
    <t>Property, plant and equipment:</t>
  </si>
  <si>
    <t>Land and land improvements</t>
  </si>
  <si>
    <t>Buildings</t>
  </si>
  <si>
    <t>Machinery and equipment</t>
  </si>
  <si>
    <t>Molds, cores and rings</t>
  </si>
  <si>
    <t>Total property, plant and equipment</t>
  </si>
  <si>
    <t>Less: Accumulated depreciation</t>
  </si>
  <si>
    <t>Property, plant and equipment, net</t>
  </si>
  <si>
    <t>Goodwill</t>
  </si>
  <si>
    <t>Intangibles, net of accumulated amortization of $112,621 at 2018 and $93,353 at 2017</t>
  </si>
  <si>
    <t>Restricted cash</t>
  </si>
  <si>
    <t>Deferred income tax assets</t>
  </si>
  <si>
    <t>Other assets</t>
  </si>
  <si>
    <t>Total assets</t>
  </si>
  <si>
    <t>December 31,</t>
  </si>
  <si>
    <t>LIABILITIES AND EQUITY</t>
  </si>
  <si>
    <t>Current liabilities:</t>
  </si>
  <si>
    <t>Notes payable</t>
  </si>
  <si>
    <t>Accounts payable</t>
  </si>
  <si>
    <t>Accrued liabilities</t>
  </si>
  <si>
    <t>Income taxes payable</t>
  </si>
  <si>
    <t>Current portion of long-term debt</t>
  </si>
  <si>
    <t>Total current liabilities</t>
  </si>
  <si>
    <t>Long-term debt</t>
  </si>
  <si>
    <t>Postretirement benefits other than pensions</t>
  </si>
  <si>
    <t>Pension benefits</t>
  </si>
  <si>
    <t>Other long-term liabilities</t>
  </si>
  <si>
    <t>Equity:</t>
  </si>
  <si>
    <t>Preferred stock, $1 par value; 5,000,000 shares authorized; none issued</t>
  </si>
  <si>
    <t>Common stock, $1 par value; 300,000,000 shares authorized; 87,850,292 shares issued at 2018 and 2017</t>
  </si>
  <si>
    <t>Capital in excess of par value</t>
  </si>
  <si>
    <t>Retained earnings</t>
  </si>
  <si>
    <t>Accumulated other comprehensive loss</t>
  </si>
  <si>
    <t>Parent stockholders' equity before treasury stock</t>
  </si>
  <si>
    <t>Less: Common shares in treasury at cost (37,776,659 at 2018 and 36,908,553 at 2017)</t>
  </si>
  <si>
    <t>Total parent stockholders' equity</t>
  </si>
  <si>
    <t>Noncontrolling shareholders' interests in consolidated subsidiaries</t>
  </si>
  <si>
    <t>Total equity</t>
  </si>
  <si>
    <t>Total liabilities and equity</t>
  </si>
  <si>
    <t>Cash and cash equivalents</t>
  </si>
  <si>
    <t>Notes receivable</t>
  </si>
  <si>
    <t>Accounts receivable, less allowances of $5,836 at 2018 and $7,570 at 2017</t>
  </si>
  <si>
    <t>Finished goods</t>
  </si>
  <si>
    <t>Work in process</t>
  </si>
  <si>
    <t>Raw materials and supplies</t>
  </si>
  <si>
    <t>Total inventories</t>
  </si>
  <si>
    <t>Other current assets</t>
  </si>
  <si>
    <t>Total current assets</t>
  </si>
  <si>
    <t>CONSOLIDATED STATEMENTS OF INCOME</t>
  </si>
  <si>
    <t>Moving average</t>
  </si>
  <si>
    <t>%ge of cost of sales</t>
  </si>
  <si>
    <t xml:space="preserve"> </t>
  </si>
  <si>
    <t>%ge of net sales</t>
  </si>
  <si>
    <t>9% of net sales</t>
  </si>
  <si>
    <t>80% of net sales</t>
  </si>
  <si>
    <t>No good will impairment</t>
  </si>
  <si>
    <t>Average of 2016 and 2018</t>
  </si>
  <si>
    <t>Percentage of Income befrore income taxes</t>
  </si>
  <si>
    <t>Accounts receivable,</t>
  </si>
  <si>
    <t>Average</t>
  </si>
  <si>
    <t>Average percentage</t>
  </si>
  <si>
    <t>%ge of totral ppe</t>
  </si>
  <si>
    <t>No Change</t>
  </si>
  <si>
    <t>%ge of sales</t>
  </si>
  <si>
    <t>Accumulated Retained Eanings</t>
  </si>
  <si>
    <t>2018 retained earnings</t>
  </si>
  <si>
    <t>Net income in 2018</t>
  </si>
  <si>
    <t>Retention ratio</t>
  </si>
  <si>
    <t>Note 1</t>
  </si>
  <si>
    <t>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</si>
</sst>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3" x14ac:knownFonts="1">
    <font>
      <sz val="12"/>
      <color theme="1"/>
      <name val="Century"/>
      <family val="2"/>
    </font>
    <font>
      <sz val="12"/>
      <color theme="1"/>
      <name val="Century"/>
      <family val="2"/>
    </font>
    <font>
      <b/>
      <sz val="12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165" fontId="0" fillId="0" borderId="0" xfId="1" applyNumberFormat="1" applyFont="1" applyAlignment="1">
      <alignment wrapText="1"/>
    </xf>
    <xf numFmtId="165" fontId="0" fillId="0" borderId="0" xfId="1" applyNumberFormat="1" applyFont="1" applyFill="1" applyBorder="1"/>
    <xf numFmtId="9" fontId="0" fillId="0" borderId="0" xfId="2" applyFont="1" applyAlignment="1">
      <alignment wrapText="1"/>
    </xf>
    <xf numFmtId="9" fontId="0" fillId="0" borderId="0" xfId="0" applyNumberFormat="1" applyAlignment="1">
      <alignment wrapText="1"/>
    </xf>
    <xf numFmtId="165" fontId="0" fillId="0" borderId="0" xfId="0" applyNumberFormat="1" applyFill="1" applyBorder="1"/>
    <xf numFmtId="164" fontId="0" fillId="0" borderId="0" xfId="0" applyNumberFormat="1" applyFill="1" applyBorder="1"/>
    <xf numFmtId="9" fontId="0" fillId="0" borderId="0" xfId="2" applyFont="1" applyFill="1" applyBorder="1"/>
    <xf numFmtId="0" fontId="0" fillId="0" borderId="1" xfId="0" applyFill="1" applyBorder="1" applyAlignment="1">
      <alignment wrapText="1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 applyAlignment="1">
      <alignment wrapText="1"/>
    </xf>
    <xf numFmtId="0" fontId="0" fillId="0" borderId="5" xfId="0" applyFill="1" applyBorder="1"/>
    <xf numFmtId="0" fontId="0" fillId="0" borderId="6" xfId="0" applyFill="1" applyBorder="1" applyAlignment="1">
      <alignment wrapText="1"/>
    </xf>
    <xf numFmtId="9" fontId="0" fillId="0" borderId="7" xfId="2" applyFont="1" applyFill="1" applyBorder="1"/>
    <xf numFmtId="0" fontId="0" fillId="0" borderId="7" xfId="0" applyFill="1" applyBorder="1"/>
    <xf numFmtId="0" fontId="0" fillId="0" borderId="8" xfId="0" applyFill="1" applyBorder="1"/>
    <xf numFmtId="165" fontId="2" fillId="0" borderId="0" xfId="0" applyNumberFormat="1" applyFont="1" applyFill="1" applyBorder="1"/>
    <xf numFmtId="165" fontId="2" fillId="0" borderId="5" xfId="0" applyNumberFormat="1" applyFont="1" applyFill="1" applyBorder="1"/>
    <xf numFmtId="0" fontId="0" fillId="0" borderId="0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H41"/>
  <sheetViews>
    <sheetView topLeftCell="B1" zoomScale="80" zoomScaleNormal="80" workbookViewId="0">
      <selection activeCell="E20" sqref="E20:I20"/>
    </sheetView>
  </sheetViews>
  <sheetFormatPr defaultColWidth="8.88671875" defaultRowHeight="15.75" x14ac:dyDescent="0.25"/>
  <cols>
    <col min="1" max="1" width="30" style="3" customWidth="1"/>
    <col min="2" max="4" width="12.21875" style="3" bestFit="1" customWidth="1"/>
    <col min="5" max="9" width="9.77734375" style="3" bestFit="1" customWidth="1"/>
    <col min="10" max="10" width="19.77734375" style="3" customWidth="1"/>
    <col min="11" max="16384" width="8.88671875" style="3"/>
  </cols>
  <sheetData>
    <row r="2" spans="1:450" ht="31.5" x14ac:dyDescent="0.25">
      <c r="A2" s="3" t="s">
        <v>71</v>
      </c>
    </row>
    <row r="3" spans="1:450" ht="31.5" x14ac:dyDescent="0.25">
      <c r="A3" s="3" t="s">
        <v>0</v>
      </c>
    </row>
    <row r="5" spans="1:450" x14ac:dyDescent="0.25">
      <c r="B5" s="3">
        <v>2016</v>
      </c>
      <c r="C5" s="3">
        <v>2017</v>
      </c>
      <c r="D5" s="3">
        <v>2018</v>
      </c>
      <c r="E5" s="3">
        <v>2019</v>
      </c>
      <c r="F5" s="3">
        <v>2020</v>
      </c>
      <c r="G5" s="3">
        <v>2021</v>
      </c>
      <c r="H5" s="3">
        <v>2022</v>
      </c>
      <c r="I5" s="3">
        <v>2023</v>
      </c>
    </row>
    <row r="6" spans="1:450" x14ac:dyDescent="0.25">
      <c r="A6" s="3" t="s">
        <v>1</v>
      </c>
      <c r="B6" s="4">
        <v>2924869</v>
      </c>
      <c r="C6" s="4">
        <v>2854656</v>
      </c>
      <c r="D6" s="4">
        <v>2808062</v>
      </c>
      <c r="E6" s="4">
        <f>AVERAGE(B6:D6)</f>
        <v>2862529</v>
      </c>
      <c r="F6" s="4">
        <f t="shared" ref="F6:I6" si="0">AVERAGE(C6:E6)</f>
        <v>2841749</v>
      </c>
      <c r="G6" s="4">
        <f t="shared" si="0"/>
        <v>2837446.6666666665</v>
      </c>
      <c r="H6" s="4">
        <f t="shared" si="0"/>
        <v>2847241.5555555555</v>
      </c>
      <c r="I6" s="4">
        <f t="shared" si="0"/>
        <v>2842145.7407407407</v>
      </c>
      <c r="J6" s="3" t="s">
        <v>72</v>
      </c>
    </row>
    <row r="7" spans="1:450" x14ac:dyDescent="0.25">
      <c r="A7" s="3" t="s">
        <v>2</v>
      </c>
      <c r="B7" s="4">
        <v>2234786</v>
      </c>
      <c r="C7" s="4">
        <v>2303261</v>
      </c>
      <c r="D7" s="4">
        <v>2364769</v>
      </c>
      <c r="E7" s="4">
        <f>0.8*E6</f>
        <v>2290023.2000000002</v>
      </c>
      <c r="F7" s="4">
        <f t="shared" ref="F7:I7" si="1">0.8*F6</f>
        <v>2273399.2000000002</v>
      </c>
      <c r="G7" s="4">
        <f t="shared" si="1"/>
        <v>2269957.3333333335</v>
      </c>
      <c r="H7" s="4">
        <f t="shared" si="1"/>
        <v>2277793.2444444443</v>
      </c>
      <c r="I7" s="4">
        <f t="shared" si="1"/>
        <v>2273716.5925925928</v>
      </c>
      <c r="J7" s="3" t="s">
        <v>77</v>
      </c>
    </row>
    <row r="8" spans="1:450" x14ac:dyDescent="0.25">
      <c r="A8" s="3" t="s">
        <v>3</v>
      </c>
      <c r="B8" s="4">
        <v>690083</v>
      </c>
      <c r="C8" s="4">
        <v>551395</v>
      </c>
      <c r="D8" s="4">
        <v>443293</v>
      </c>
      <c r="E8" s="4">
        <f>E6-E7</f>
        <v>572505.79999999981</v>
      </c>
      <c r="F8" s="4">
        <f t="shared" ref="F8:I8" si="2">F6-F7</f>
        <v>568349.79999999981</v>
      </c>
      <c r="G8" s="4">
        <f t="shared" si="2"/>
        <v>567489.33333333302</v>
      </c>
      <c r="H8" s="4">
        <f t="shared" si="2"/>
        <v>569448.31111111119</v>
      </c>
      <c r="I8" s="4">
        <f t="shared" si="2"/>
        <v>568429.14814814785</v>
      </c>
    </row>
    <row r="9" spans="1:450" ht="31.5" x14ac:dyDescent="0.25">
      <c r="A9" s="3" t="s">
        <v>4</v>
      </c>
      <c r="B9" s="4">
        <v>252625</v>
      </c>
      <c r="C9" s="4">
        <v>242148</v>
      </c>
      <c r="D9" s="4">
        <v>244221</v>
      </c>
      <c r="E9" s="4">
        <f>0.09*E6</f>
        <v>257627.61</v>
      </c>
      <c r="F9" s="4">
        <f t="shared" ref="F9:I9" si="3">0.09*F6</f>
        <v>255757.41</v>
      </c>
      <c r="G9" s="4">
        <f t="shared" si="3"/>
        <v>255370.19999999998</v>
      </c>
      <c r="H9" s="4">
        <f t="shared" si="3"/>
        <v>256251.74</v>
      </c>
      <c r="I9" s="4">
        <f t="shared" si="3"/>
        <v>255793.11666666664</v>
      </c>
      <c r="J9" s="3" t="s">
        <v>76</v>
      </c>
    </row>
    <row r="10" spans="1:450" ht="31.5" x14ac:dyDescent="0.25">
      <c r="A10" s="3" t="s">
        <v>5</v>
      </c>
      <c r="B10" s="4">
        <v>0</v>
      </c>
      <c r="C10" s="4">
        <v>0</v>
      </c>
      <c r="D10" s="4">
        <v>33827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3" t="s">
        <v>78</v>
      </c>
    </row>
    <row r="11" spans="1:450" x14ac:dyDescent="0.25">
      <c r="A11" s="3" t="s">
        <v>6</v>
      </c>
      <c r="B11" s="4">
        <v>437458</v>
      </c>
      <c r="C11" s="4">
        <v>309247</v>
      </c>
      <c r="D11" s="4">
        <v>165245</v>
      </c>
      <c r="E11" s="4">
        <f>E8-E9-E10</f>
        <v>314878.18999999983</v>
      </c>
      <c r="F11" s="4">
        <f t="shared" ref="F11:I11" si="4">F8-F9-F10</f>
        <v>312592.38999999978</v>
      </c>
      <c r="G11" s="4">
        <f t="shared" si="4"/>
        <v>312119.13333333307</v>
      </c>
      <c r="H11" s="4">
        <f t="shared" si="4"/>
        <v>313196.5711111112</v>
      </c>
      <c r="I11" s="4">
        <f t="shared" si="4"/>
        <v>312636.03148148122</v>
      </c>
    </row>
    <row r="12" spans="1:450" x14ac:dyDescent="0.25">
      <c r="A12" s="3" t="s">
        <v>7</v>
      </c>
      <c r="B12" s="4">
        <v>-26604</v>
      </c>
      <c r="C12" s="4">
        <v>-32048</v>
      </c>
      <c r="D12" s="4">
        <v>-32181</v>
      </c>
      <c r="E12" s="4">
        <f>AVERAGE(B12:D12)</f>
        <v>-30277.666666666668</v>
      </c>
      <c r="F12" s="4">
        <f t="shared" ref="F12:I17" si="5">AVERAGE(C12:E12)</f>
        <v>-31502.222222222223</v>
      </c>
      <c r="G12" s="4">
        <f t="shared" si="5"/>
        <v>-31320.296296296296</v>
      </c>
      <c r="H12" s="4">
        <f t="shared" si="5"/>
        <v>-31033.395061728395</v>
      </c>
      <c r="I12" s="4">
        <f t="shared" si="5"/>
        <v>-31285.304526748969</v>
      </c>
      <c r="J12" s="3" t="s">
        <v>72</v>
      </c>
    </row>
    <row r="13" spans="1:450" x14ac:dyDescent="0.25">
      <c r="A13" s="3" t="s">
        <v>8</v>
      </c>
      <c r="B13" s="4">
        <v>4378</v>
      </c>
      <c r="C13" s="4">
        <v>7362</v>
      </c>
      <c r="D13" s="4">
        <v>10216</v>
      </c>
      <c r="E13" s="4">
        <f t="shared" ref="E13:E15" si="6">AVERAGE(B13:D13)</f>
        <v>7318.666666666667</v>
      </c>
      <c r="F13" s="4">
        <f t="shared" si="5"/>
        <v>8298.8888888888887</v>
      </c>
      <c r="G13" s="4">
        <f t="shared" si="5"/>
        <v>8611.1851851851843</v>
      </c>
      <c r="H13" s="4">
        <f t="shared" si="5"/>
        <v>8076.2469135802457</v>
      </c>
      <c r="I13" s="4">
        <f t="shared" si="5"/>
        <v>8328.773662551439</v>
      </c>
      <c r="J13" s="3" t="s">
        <v>72</v>
      </c>
      <c r="PR13" s="3" t="s">
        <v>74</v>
      </c>
      <c r="QH13" s="3" t="s">
        <v>74</v>
      </c>
    </row>
    <row r="14" spans="1:450" ht="31.5" x14ac:dyDescent="0.25">
      <c r="A14" s="3" t="s">
        <v>9</v>
      </c>
      <c r="B14" s="4">
        <v>-53071</v>
      </c>
      <c r="C14" s="4">
        <v>-37523</v>
      </c>
      <c r="D14" s="4">
        <v>-27806</v>
      </c>
      <c r="E14" s="4">
        <f t="shared" si="6"/>
        <v>-39466.666666666664</v>
      </c>
      <c r="F14" s="4">
        <f t="shared" si="5"/>
        <v>-34931.888888888883</v>
      </c>
      <c r="G14" s="4">
        <f t="shared" si="5"/>
        <v>-34068.185185185175</v>
      </c>
      <c r="H14" s="4">
        <f t="shared" si="5"/>
        <v>-36155.580246913574</v>
      </c>
      <c r="I14" s="4">
        <f t="shared" si="5"/>
        <v>-35051.884773662547</v>
      </c>
      <c r="J14" s="3" t="s">
        <v>72</v>
      </c>
    </row>
    <row r="15" spans="1:450" ht="31.5" x14ac:dyDescent="0.25">
      <c r="A15" s="3" t="s">
        <v>10</v>
      </c>
      <c r="B15" s="4">
        <v>4932</v>
      </c>
      <c r="C15" s="4">
        <v>-3113</v>
      </c>
      <c r="D15" s="4">
        <v>-1416</v>
      </c>
      <c r="E15" s="4">
        <f t="shared" si="6"/>
        <v>134.33333333333334</v>
      </c>
      <c r="F15" s="4">
        <f t="shared" si="5"/>
        <v>-1464.8888888888889</v>
      </c>
      <c r="G15" s="4">
        <f t="shared" si="5"/>
        <v>-915.51851851851859</v>
      </c>
      <c r="H15" s="4">
        <f t="shared" si="5"/>
        <v>-748.69135802469145</v>
      </c>
      <c r="I15" s="4">
        <f t="shared" si="5"/>
        <v>-1043.0329218106997</v>
      </c>
      <c r="J15" s="3" t="s">
        <v>72</v>
      </c>
    </row>
    <row r="16" spans="1:450" x14ac:dyDescent="0.25">
      <c r="A16" s="3" t="s">
        <v>11</v>
      </c>
      <c r="B16" s="4">
        <v>367093</v>
      </c>
      <c r="C16" s="4">
        <v>243925</v>
      </c>
      <c r="D16" s="4">
        <v>114058</v>
      </c>
      <c r="E16" s="4">
        <f>SUM(E11:E15)</f>
        <v>252586.85666666651</v>
      </c>
      <c r="F16" s="4">
        <f t="shared" si="5"/>
        <v>203523.28555555549</v>
      </c>
      <c r="G16" s="4">
        <f t="shared" si="5"/>
        <v>190056.04740740731</v>
      </c>
      <c r="H16" s="4">
        <f t="shared" si="5"/>
        <v>215388.72987654308</v>
      </c>
      <c r="I16" s="4">
        <f t="shared" si="5"/>
        <v>202989.35427983527</v>
      </c>
    </row>
    <row r="17" spans="1:10" ht="31.5" x14ac:dyDescent="0.25">
      <c r="A17" s="3" t="s">
        <v>12</v>
      </c>
      <c r="B17" s="4">
        <v>115799</v>
      </c>
      <c r="C17" s="4">
        <v>147180</v>
      </c>
      <c r="D17" s="4">
        <v>33495</v>
      </c>
      <c r="E17" s="4">
        <f>0.3*E16</f>
        <v>75776.056999999957</v>
      </c>
      <c r="F17" s="4">
        <f t="shared" si="5"/>
        <v>85483.685666666657</v>
      </c>
      <c r="G17" s="4">
        <f t="shared" si="5"/>
        <v>64918.247555555543</v>
      </c>
      <c r="H17" s="4">
        <f t="shared" si="5"/>
        <v>75392.663407407395</v>
      </c>
      <c r="I17" s="4">
        <f t="shared" si="5"/>
        <v>75264.865543209875</v>
      </c>
      <c r="J17" s="3" t="s">
        <v>80</v>
      </c>
    </row>
    <row r="18" spans="1:10" x14ac:dyDescent="0.25">
      <c r="A18" s="3" t="s">
        <v>13</v>
      </c>
      <c r="B18" s="4">
        <v>251294</v>
      </c>
      <c r="C18" s="4">
        <v>96745</v>
      </c>
      <c r="D18" s="4">
        <v>80563</v>
      </c>
      <c r="E18" s="4">
        <f>E16-E17</f>
        <v>176810.79966666654</v>
      </c>
      <c r="F18" s="4">
        <f t="shared" ref="F18:I18" si="7">F16-F17</f>
        <v>118039.59988888883</v>
      </c>
      <c r="G18" s="4">
        <f t="shared" si="7"/>
        <v>125137.79985185177</v>
      </c>
      <c r="H18" s="4">
        <f t="shared" si="7"/>
        <v>139996.06646913569</v>
      </c>
      <c r="I18" s="4">
        <f t="shared" si="7"/>
        <v>127724.4887366254</v>
      </c>
    </row>
    <row r="19" spans="1:10" ht="47.25" x14ac:dyDescent="0.25">
      <c r="A19" s="3" t="s">
        <v>14</v>
      </c>
      <c r="B19" s="4">
        <v>2913</v>
      </c>
      <c r="C19" s="4">
        <v>1345</v>
      </c>
      <c r="D19" s="4">
        <v>3977</v>
      </c>
      <c r="E19" s="4">
        <f>AVERAGE(B19:D19)</f>
        <v>2745</v>
      </c>
      <c r="F19" s="4">
        <f t="shared" ref="F19:I19" si="8">AVERAGE(C19:E19)</f>
        <v>2689</v>
      </c>
      <c r="G19" s="4">
        <f t="shared" si="8"/>
        <v>3137</v>
      </c>
      <c r="H19" s="4">
        <f t="shared" si="8"/>
        <v>2857</v>
      </c>
      <c r="I19" s="4">
        <f t="shared" si="8"/>
        <v>2894.3333333333335</v>
      </c>
      <c r="J19" s="3" t="s">
        <v>72</v>
      </c>
    </row>
    <row r="20" spans="1:10" ht="31.5" x14ac:dyDescent="0.25">
      <c r="A20" s="3" t="s">
        <v>15</v>
      </c>
      <c r="B20" s="4">
        <v>248381</v>
      </c>
      <c r="C20" s="4">
        <v>95400</v>
      </c>
      <c r="D20" s="4">
        <v>76586</v>
      </c>
      <c r="E20" s="4">
        <f>E18-E19</f>
        <v>174065.79966666654</v>
      </c>
      <c r="F20" s="4">
        <f t="shared" ref="F20:I20" si="9">F18-F19</f>
        <v>115350.59988888883</v>
      </c>
      <c r="G20" s="4">
        <f t="shared" si="9"/>
        <v>122000.79985185177</v>
      </c>
      <c r="H20" s="4">
        <f t="shared" si="9"/>
        <v>137139.06646913569</v>
      </c>
      <c r="I20" s="4">
        <f t="shared" si="9"/>
        <v>124830.15540329207</v>
      </c>
    </row>
    <row r="21" spans="1:10" x14ac:dyDescent="0.25">
      <c r="B21" s="4"/>
      <c r="C21" s="4"/>
      <c r="D21" s="4"/>
      <c r="E21" s="4"/>
      <c r="F21" s="4"/>
      <c r="G21" s="4"/>
      <c r="H21" s="4"/>
      <c r="I21" s="4"/>
    </row>
    <row r="22" spans="1:10" x14ac:dyDescent="0.25">
      <c r="A22" s="3" t="s">
        <v>16</v>
      </c>
      <c r="B22" s="4"/>
      <c r="C22" s="4"/>
      <c r="D22" s="4"/>
      <c r="E22" s="4"/>
      <c r="F22" s="4"/>
      <c r="G22" s="4"/>
      <c r="H22" s="4"/>
      <c r="I22" s="4"/>
    </row>
    <row r="23" spans="1:10" x14ac:dyDescent="0.25">
      <c r="A23" s="3" t="s">
        <v>17</v>
      </c>
      <c r="B23" s="4">
        <v>4.5599999999999996</v>
      </c>
      <c r="C23" s="4">
        <v>1.83</v>
      </c>
      <c r="D23" s="4">
        <v>1.52</v>
      </c>
      <c r="E23" s="4"/>
      <c r="F23" s="4"/>
      <c r="G23" s="4"/>
      <c r="H23" s="4"/>
      <c r="I23" s="4"/>
    </row>
    <row r="24" spans="1:10" x14ac:dyDescent="0.25">
      <c r="A24" s="3" t="s">
        <v>18</v>
      </c>
      <c r="B24" s="4">
        <v>4.51</v>
      </c>
      <c r="C24" s="4">
        <v>1.81</v>
      </c>
      <c r="D24" s="4">
        <v>1.51</v>
      </c>
      <c r="E24" s="4"/>
      <c r="F24" s="4"/>
      <c r="G24" s="4"/>
      <c r="H24" s="4"/>
      <c r="I24" s="4"/>
    </row>
    <row r="28" spans="1:10" x14ac:dyDescent="0.25">
      <c r="A28" s="3" t="s">
        <v>1</v>
      </c>
      <c r="B28" s="4">
        <v>2924869</v>
      </c>
      <c r="C28" s="4">
        <v>2854656</v>
      </c>
      <c r="D28" s="4">
        <v>2808062</v>
      </c>
    </row>
    <row r="29" spans="1:10" x14ac:dyDescent="0.25">
      <c r="A29" s="3" t="s">
        <v>2</v>
      </c>
      <c r="B29" s="4">
        <v>2234786</v>
      </c>
      <c r="C29" s="4">
        <v>2303261</v>
      </c>
      <c r="D29" s="4">
        <v>2364769</v>
      </c>
    </row>
    <row r="30" spans="1:10" x14ac:dyDescent="0.25">
      <c r="B30" s="6">
        <f>B29/B28</f>
        <v>0.76406362131090311</v>
      </c>
      <c r="C30" s="6">
        <f t="shared" ref="C30:D30" si="10">C29/C28</f>
        <v>0.80684362669267329</v>
      </c>
      <c r="D30" s="6">
        <f t="shared" si="10"/>
        <v>0.84213560811691479</v>
      </c>
    </row>
    <row r="31" spans="1:10" x14ac:dyDescent="0.25">
      <c r="A31" s="3" t="s">
        <v>73</v>
      </c>
      <c r="B31" s="7">
        <f>AVERAGE(B30:D30)</f>
        <v>0.80434761870683047</v>
      </c>
    </row>
    <row r="33" spans="1:4" ht="31.5" x14ac:dyDescent="0.25">
      <c r="A33" s="3" t="s">
        <v>4</v>
      </c>
      <c r="B33" s="4">
        <v>252625</v>
      </c>
      <c r="C33" s="4">
        <v>242148</v>
      </c>
      <c r="D33" s="4">
        <v>244221</v>
      </c>
    </row>
    <row r="34" spans="1:4" x14ac:dyDescent="0.25">
      <c r="B34" s="6">
        <f>B33/B28</f>
        <v>8.6371389624629341E-2</v>
      </c>
      <c r="C34" s="6">
        <f t="shared" ref="C34:D34" si="11">C33/C28</f>
        <v>8.4825632230293241E-2</v>
      </c>
      <c r="D34" s="6">
        <f t="shared" si="11"/>
        <v>8.697137029025713E-2</v>
      </c>
    </row>
    <row r="35" spans="1:4" x14ac:dyDescent="0.25">
      <c r="A35" s="3" t="s">
        <v>75</v>
      </c>
      <c r="B35" s="7">
        <f>AVERAGE(B34:D34)</f>
        <v>8.6056130715059909E-2</v>
      </c>
    </row>
    <row r="38" spans="1:4" x14ac:dyDescent="0.25">
      <c r="A38" s="3" t="s">
        <v>11</v>
      </c>
      <c r="B38" s="4">
        <v>367093</v>
      </c>
      <c r="C38" s="4">
        <v>243925</v>
      </c>
      <c r="D38" s="4">
        <v>114058</v>
      </c>
    </row>
    <row r="39" spans="1:4" x14ac:dyDescent="0.25">
      <c r="A39" s="3" t="s">
        <v>12</v>
      </c>
      <c r="B39" s="4">
        <v>115799</v>
      </c>
      <c r="C39" s="4">
        <v>147180</v>
      </c>
      <c r="D39" s="4">
        <v>33495</v>
      </c>
    </row>
    <row r="40" spans="1:4" x14ac:dyDescent="0.25">
      <c r="B40" s="6">
        <f>B39/B38</f>
        <v>0.31544867376931729</v>
      </c>
      <c r="C40" s="6">
        <f t="shared" ref="C40:D40" si="12">C39/C38</f>
        <v>0.60338218714768888</v>
      </c>
      <c r="D40" s="6">
        <f t="shared" si="12"/>
        <v>0.29366638026267339</v>
      </c>
    </row>
    <row r="41" spans="1:4" x14ac:dyDescent="0.25">
      <c r="A41" s="3" t="s">
        <v>79</v>
      </c>
      <c r="B41" s="6">
        <f>AVERAGE(B40,D40)</f>
        <v>0.30455752701599537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2"/>
  <sheetViews>
    <sheetView tabSelected="1" topLeftCell="F37" zoomScale="60" zoomScaleNormal="60" workbookViewId="0">
      <selection activeCell="N53" sqref="N53"/>
    </sheetView>
  </sheetViews>
  <sheetFormatPr defaultColWidth="8.88671875" defaultRowHeight="15.75" x14ac:dyDescent="0.25"/>
  <cols>
    <col min="1" max="1" width="39.33203125" style="2" customWidth="1"/>
    <col min="2" max="2" width="8" style="1" bestFit="1" customWidth="1"/>
    <col min="3" max="3" width="12.6640625" style="1" customWidth="1"/>
    <col min="4" max="4" width="13.77734375" style="1" customWidth="1"/>
    <col min="5" max="5" width="13.88671875" style="1" customWidth="1"/>
    <col min="6" max="6" width="13.21875" style="1" customWidth="1"/>
    <col min="7" max="7" width="11.6640625" style="1" customWidth="1"/>
    <col min="8" max="8" width="12.21875" style="1" customWidth="1"/>
    <col min="9" max="9" width="13.88671875" style="1" customWidth="1"/>
    <col min="10" max="10" width="14.33203125" style="1" bestFit="1" customWidth="1"/>
    <col min="11" max="11" width="6.44140625" style="1" customWidth="1"/>
    <col min="12" max="12" width="24.109375" style="2" customWidth="1"/>
    <col min="13" max="13" width="13" style="1" customWidth="1"/>
    <col min="14" max="14" width="12.77734375" style="1" customWidth="1"/>
    <col min="15" max="15" width="14.88671875" style="1" customWidth="1"/>
    <col min="16" max="16" width="16.21875" style="1" customWidth="1"/>
    <col min="17" max="17" width="15.6640625" style="1" customWidth="1"/>
    <col min="18" max="18" width="14.88671875" style="1" customWidth="1"/>
    <col min="19" max="19" width="17" style="1" customWidth="1"/>
    <col min="20" max="20" width="14.33203125" style="1" customWidth="1"/>
    <col min="21" max="21" width="13.44140625" style="1" customWidth="1"/>
    <col min="22" max="22" width="12.33203125" style="1" customWidth="1"/>
    <col min="23" max="16384" width="8.88671875" style="1"/>
  </cols>
  <sheetData>
    <row r="1" spans="1:22" ht="31.5" x14ac:dyDescent="0.25">
      <c r="A1" s="2" t="s">
        <v>19</v>
      </c>
      <c r="R1" s="1">
        <v>2019</v>
      </c>
      <c r="S1" s="1">
        <v>2020</v>
      </c>
      <c r="T1" s="1">
        <v>2021</v>
      </c>
      <c r="U1" s="1">
        <v>2022</v>
      </c>
      <c r="V1" s="1">
        <v>2023</v>
      </c>
    </row>
    <row r="2" spans="1:22" x14ac:dyDescent="0.25">
      <c r="A2" s="2" t="s">
        <v>37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  <c r="H2" s="1">
        <v>2022</v>
      </c>
      <c r="I2" s="1">
        <v>2023</v>
      </c>
      <c r="L2" s="2" t="s">
        <v>1</v>
      </c>
      <c r="M2" s="4">
        <v>2854656</v>
      </c>
      <c r="N2" s="4">
        <v>2808062</v>
      </c>
      <c r="O2" s="22" t="s">
        <v>75</v>
      </c>
      <c r="P2" s="22"/>
      <c r="Q2" s="1" t="s">
        <v>82</v>
      </c>
      <c r="R2" s="1">
        <v>2862529</v>
      </c>
      <c r="S2" s="1">
        <v>2841749</v>
      </c>
      <c r="T2" s="1">
        <v>2837446.6666666665</v>
      </c>
      <c r="U2" s="1">
        <v>2847241.5555555555</v>
      </c>
      <c r="V2" s="1">
        <v>2842145.7407407407</v>
      </c>
    </row>
    <row r="3" spans="1:22" x14ac:dyDescent="0.25">
      <c r="A3" s="2" t="s">
        <v>20</v>
      </c>
      <c r="C3" s="5"/>
      <c r="D3" s="5"/>
      <c r="E3" s="5"/>
      <c r="F3" s="5"/>
      <c r="G3" s="5"/>
      <c r="H3" s="5"/>
      <c r="I3" s="5"/>
      <c r="L3" s="2" t="s">
        <v>62</v>
      </c>
      <c r="M3" s="5">
        <v>371684</v>
      </c>
      <c r="N3" s="5">
        <v>356254</v>
      </c>
      <c r="O3" s="9">
        <f>M3/2854656</f>
        <v>0.13020272845484709</v>
      </c>
      <c r="P3" s="9">
        <f>N3/2808062</f>
        <v>0.12686828139834519</v>
      </c>
      <c r="Q3" s="9">
        <f>AVERAGE(O3:P3)</f>
        <v>0.12853550492659616</v>
      </c>
      <c r="R3" s="9">
        <f>2862529*Q3</f>
        <v>367936.61038202437</v>
      </c>
      <c r="S3" s="9">
        <f>2841749*Q3</f>
        <v>365265.64258964971</v>
      </c>
      <c r="T3" s="9">
        <f>2837446.7*Q3</f>
        <v>364712.64428680402</v>
      </c>
      <c r="U3" s="9">
        <f>2847241.6*Q3</f>
        <v>365971.63670400955</v>
      </c>
      <c r="V3" s="9">
        <f>2842145.7*Q3</f>
        <v>365316.6326244541</v>
      </c>
    </row>
    <row r="4" spans="1:22" x14ac:dyDescent="0.25">
      <c r="A4" s="2" t="s">
        <v>21</v>
      </c>
      <c r="C4" s="5"/>
      <c r="D4" s="5"/>
      <c r="E4" s="5"/>
      <c r="F4" s="5"/>
      <c r="G4" s="5"/>
      <c r="H4" s="5"/>
      <c r="I4" s="5"/>
      <c r="L4" s="2" t="s">
        <v>63</v>
      </c>
      <c r="M4" s="5">
        <v>13753</v>
      </c>
      <c r="N4" s="5">
        <v>5737</v>
      </c>
      <c r="O4" s="9">
        <f>M4/2854656</f>
        <v>4.8177433638238723E-3</v>
      </c>
      <c r="P4" s="9">
        <f t="shared" ref="P4:P14" si="0">N4/2808062</f>
        <v>2.0430460580998567E-3</v>
      </c>
      <c r="Q4" s="9">
        <f t="shared" ref="Q4:Q14" si="1">AVERAGE(O4:P4)</f>
        <v>3.4303947109618647E-3</v>
      </c>
      <c r="R4" s="9">
        <f t="shared" ref="R4:R14" si="2">2862529*Q4</f>
        <v>9819.6043415749555</v>
      </c>
      <c r="S4" s="9">
        <f t="shared" ref="S4:S14" si="3">2841749*Q4</f>
        <v>9748.3207394811689</v>
      </c>
      <c r="T4" s="9">
        <f t="shared" ref="T4:T14" si="4">2837446.7*Q4</f>
        <v>9733.5621523161972</v>
      </c>
      <c r="U4" s="9">
        <f t="shared" ref="U4:U14" si="5">2847241.6*Q4</f>
        <v>9767.1625254705978</v>
      </c>
      <c r="V4" s="9">
        <f t="shared" ref="V4:V14" si="6">2842145.7*Q4</f>
        <v>9749.6815770630074</v>
      </c>
    </row>
    <row r="5" spans="1:22" x14ac:dyDescent="0.25">
      <c r="A5" s="2" t="s">
        <v>62</v>
      </c>
      <c r="C5" s="5">
        <v>371684</v>
      </c>
      <c r="D5" s="5">
        <v>356254</v>
      </c>
      <c r="E5" s="5">
        <v>367936.61038202437</v>
      </c>
      <c r="F5" s="5">
        <v>365265.64258964971</v>
      </c>
      <c r="G5" s="5">
        <v>364712.64428680402</v>
      </c>
      <c r="H5" s="5">
        <v>365971.63670400955</v>
      </c>
      <c r="I5" s="5">
        <v>365316.6326244541</v>
      </c>
      <c r="J5" s="1" t="s">
        <v>75</v>
      </c>
      <c r="L5" s="2" t="s">
        <v>81</v>
      </c>
      <c r="M5" s="5">
        <v>528250</v>
      </c>
      <c r="N5" s="5">
        <v>546905</v>
      </c>
      <c r="O5" s="9">
        <f t="shared" ref="O5:O10" si="7">M5/2854656</f>
        <v>0.18504856627208321</v>
      </c>
      <c r="P5" s="9">
        <f t="shared" si="0"/>
        <v>0.19476243758150638</v>
      </c>
      <c r="Q5" s="9">
        <f t="shared" si="1"/>
        <v>0.18990550192679478</v>
      </c>
      <c r="R5" s="9">
        <f t="shared" si="2"/>
        <v>543610.00652500591</v>
      </c>
      <c r="S5" s="9">
        <f t="shared" si="3"/>
        <v>539663.77019496716</v>
      </c>
      <c r="T5" s="9">
        <f t="shared" si="4"/>
        <v>538846.73975402757</v>
      </c>
      <c r="U5" s="9">
        <f t="shared" si="5"/>
        <v>540706.84515485028</v>
      </c>
      <c r="V5" s="9">
        <f t="shared" si="6"/>
        <v>539739.1057075815</v>
      </c>
    </row>
    <row r="6" spans="1:22" x14ac:dyDescent="0.25">
      <c r="A6" s="2" t="s">
        <v>63</v>
      </c>
      <c r="C6" s="5">
        <v>13753</v>
      </c>
      <c r="D6" s="5">
        <v>5737</v>
      </c>
      <c r="E6" s="5">
        <v>9819.6043415749555</v>
      </c>
      <c r="F6" s="5">
        <v>9748.3207394811689</v>
      </c>
      <c r="G6" s="5">
        <v>9733.5621523161972</v>
      </c>
      <c r="H6" s="5">
        <v>9767.1625254705978</v>
      </c>
      <c r="I6" s="5">
        <v>9749.6815770630074</v>
      </c>
      <c r="J6" s="1" t="s">
        <v>75</v>
      </c>
      <c r="L6" s="2" t="s">
        <v>22</v>
      </c>
      <c r="M6" s="5"/>
      <c r="N6" s="5"/>
      <c r="O6" s="9">
        <f t="shared" si="7"/>
        <v>0</v>
      </c>
      <c r="P6" s="9">
        <f t="shared" si="0"/>
        <v>0</v>
      </c>
      <c r="Q6" s="9">
        <f t="shared" si="1"/>
        <v>0</v>
      </c>
      <c r="R6" s="9">
        <f t="shared" si="2"/>
        <v>0</v>
      </c>
      <c r="S6" s="9">
        <f t="shared" si="3"/>
        <v>0</v>
      </c>
      <c r="T6" s="9">
        <f t="shared" si="4"/>
        <v>0</v>
      </c>
      <c r="U6" s="9">
        <f t="shared" si="5"/>
        <v>0</v>
      </c>
      <c r="V6" s="9">
        <f t="shared" si="6"/>
        <v>0</v>
      </c>
    </row>
    <row r="7" spans="1:22" ht="31.5" x14ac:dyDescent="0.25">
      <c r="A7" s="2" t="s">
        <v>64</v>
      </c>
      <c r="C7" s="5">
        <v>528250</v>
      </c>
      <c r="D7" s="5">
        <v>546905</v>
      </c>
      <c r="E7" s="5">
        <v>543610.00652500591</v>
      </c>
      <c r="F7" s="5">
        <v>539663.77019496716</v>
      </c>
      <c r="G7" s="5">
        <v>538846.73975402757</v>
      </c>
      <c r="H7" s="5">
        <v>540706.84515485028</v>
      </c>
      <c r="I7" s="5">
        <v>539739.1057075815</v>
      </c>
      <c r="J7" s="1" t="s">
        <v>75</v>
      </c>
      <c r="L7" s="2" t="s">
        <v>65</v>
      </c>
      <c r="M7" s="5">
        <v>365672</v>
      </c>
      <c r="N7" s="5">
        <v>338133</v>
      </c>
      <c r="O7" s="9">
        <f t="shared" si="7"/>
        <v>0.12809669536364451</v>
      </c>
      <c r="P7" s="9">
        <f t="shared" si="0"/>
        <v>0.12041507630529526</v>
      </c>
      <c r="Q7" s="9">
        <f t="shared" si="1"/>
        <v>0.12425588583446989</v>
      </c>
      <c r="R7" s="9">
        <f t="shared" si="2"/>
        <v>355686.07662185928</v>
      </c>
      <c r="S7" s="9">
        <f t="shared" si="3"/>
        <v>353104.03931421897</v>
      </c>
      <c r="T7" s="9">
        <f t="shared" si="4"/>
        <v>352569.45321659336</v>
      </c>
      <c r="U7" s="9">
        <f t="shared" si="5"/>
        <v>353786.52719275339</v>
      </c>
      <c r="V7" s="9">
        <f t="shared" si="6"/>
        <v>353153.33162412955</v>
      </c>
    </row>
    <row r="8" spans="1:22" x14ac:dyDescent="0.25">
      <c r="A8" s="2" t="s">
        <v>22</v>
      </c>
      <c r="C8" s="5"/>
      <c r="D8" s="5"/>
      <c r="E8" s="5">
        <v>0</v>
      </c>
      <c r="F8" s="5">
        <v>0</v>
      </c>
      <c r="G8" s="5">
        <v>0</v>
      </c>
      <c r="H8" s="5">
        <v>0</v>
      </c>
      <c r="I8" s="5">
        <v>0</v>
      </c>
      <c r="J8" s="1" t="s">
        <v>75</v>
      </c>
      <c r="L8" s="2" t="s">
        <v>66</v>
      </c>
      <c r="M8" s="5">
        <v>31000</v>
      </c>
      <c r="N8" s="5">
        <v>27265</v>
      </c>
      <c r="O8" s="9">
        <f t="shared" si="7"/>
        <v>1.0859452067079186E-2</v>
      </c>
      <c r="P8" s="9">
        <f t="shared" si="0"/>
        <v>9.7095434502514552E-3</v>
      </c>
      <c r="Q8" s="9">
        <f t="shared" si="1"/>
        <v>1.0284497758665322E-2</v>
      </c>
      <c r="R8" s="9">
        <f t="shared" si="2"/>
        <v>29439.673084614486</v>
      </c>
      <c r="S8" s="9">
        <f t="shared" si="3"/>
        <v>29225.96122118942</v>
      </c>
      <c r="T8" s="9">
        <f t="shared" si="4"/>
        <v>29181.714226482316</v>
      </c>
      <c r="U8" s="9">
        <f t="shared" si="5"/>
        <v>29282.449853578666</v>
      </c>
      <c r="V8" s="9">
        <f t="shared" si="6"/>
        <v>29230.041081450283</v>
      </c>
    </row>
    <row r="9" spans="1:22" x14ac:dyDescent="0.25">
      <c r="A9" s="2" t="s">
        <v>65</v>
      </c>
      <c r="C9" s="5">
        <v>365672</v>
      </c>
      <c r="D9" s="5">
        <v>338133</v>
      </c>
      <c r="E9" s="5">
        <v>355686.07662185928</v>
      </c>
      <c r="F9" s="5">
        <v>353104.03931421897</v>
      </c>
      <c r="G9" s="5">
        <v>352569.45321659336</v>
      </c>
      <c r="H9" s="5">
        <v>353786.52719275339</v>
      </c>
      <c r="I9" s="5">
        <v>353153.33162412955</v>
      </c>
      <c r="J9" s="1" t="s">
        <v>75</v>
      </c>
      <c r="L9" s="2" t="s">
        <v>67</v>
      </c>
      <c r="M9" s="5">
        <v>115085</v>
      </c>
      <c r="N9" s="5">
        <v>114582</v>
      </c>
      <c r="O9" s="9">
        <f t="shared" si="7"/>
        <v>4.0314840036768003E-2</v>
      </c>
      <c r="P9" s="9">
        <f t="shared" si="0"/>
        <v>4.0804654598082239E-2</v>
      </c>
      <c r="Q9" s="9">
        <f t="shared" si="1"/>
        <v>4.0559747317425121E-2</v>
      </c>
      <c r="R9" s="9">
        <f t="shared" si="2"/>
        <v>116103.45292880162</v>
      </c>
      <c r="S9" s="9">
        <f t="shared" si="3"/>
        <v>115260.62137954553</v>
      </c>
      <c r="T9" s="9">
        <f t="shared" si="4"/>
        <v>115086.12117866176</v>
      </c>
      <c r="U9" s="9">
        <f t="shared" si="5"/>
        <v>115483.39984766122</v>
      </c>
      <c r="V9" s="9">
        <f t="shared" si="6"/>
        <v>115276.71143130635</v>
      </c>
    </row>
    <row r="10" spans="1:22" x14ac:dyDescent="0.25">
      <c r="A10" s="2" t="s">
        <v>66</v>
      </c>
      <c r="C10" s="5">
        <v>31000</v>
      </c>
      <c r="D10" s="5">
        <v>27265</v>
      </c>
      <c r="E10" s="5">
        <v>29439.673084614486</v>
      </c>
      <c r="F10" s="5">
        <v>29225.96122118942</v>
      </c>
      <c r="G10" s="5">
        <v>29181.714226482316</v>
      </c>
      <c r="H10" s="5">
        <v>29282.449853578666</v>
      </c>
      <c r="I10" s="5">
        <v>29230.041081450283</v>
      </c>
      <c r="J10" s="1" t="s">
        <v>75</v>
      </c>
      <c r="L10" s="2" t="s">
        <v>68</v>
      </c>
      <c r="M10" s="5">
        <v>511757</v>
      </c>
      <c r="N10" s="5">
        <v>479980</v>
      </c>
      <c r="O10" s="9">
        <f t="shared" si="7"/>
        <v>0.1792709874674917</v>
      </c>
      <c r="P10" s="9">
        <f t="shared" si="0"/>
        <v>0.17092927435362895</v>
      </c>
      <c r="Q10" s="9">
        <f t="shared" si="1"/>
        <v>0.17510013091056031</v>
      </c>
      <c r="R10" s="9">
        <f t="shared" si="2"/>
        <v>501229.20263527532</v>
      </c>
      <c r="S10" s="9">
        <f t="shared" si="3"/>
        <v>497590.62191495387</v>
      </c>
      <c r="T10" s="9">
        <f t="shared" si="4"/>
        <v>496837.28862173739</v>
      </c>
      <c r="U10" s="9">
        <f t="shared" si="5"/>
        <v>498552.37689399323</v>
      </c>
      <c r="V10" s="9">
        <f t="shared" si="6"/>
        <v>497660.08413688611</v>
      </c>
    </row>
    <row r="11" spans="1:22" x14ac:dyDescent="0.25">
      <c r="A11" s="2" t="s">
        <v>67</v>
      </c>
      <c r="C11" s="5">
        <v>115085</v>
      </c>
      <c r="D11" s="5">
        <v>114582</v>
      </c>
      <c r="E11" s="5">
        <v>116103.45292880162</v>
      </c>
      <c r="F11" s="5">
        <v>115260.62137954553</v>
      </c>
      <c r="G11" s="5">
        <v>115086.12117866176</v>
      </c>
      <c r="H11" s="5">
        <v>115483.39984766122</v>
      </c>
      <c r="I11" s="5">
        <v>115276.71143130635</v>
      </c>
      <c r="J11" s="1" t="s">
        <v>75</v>
      </c>
      <c r="L11" s="2" t="s">
        <v>69</v>
      </c>
      <c r="M11" s="5">
        <v>63063</v>
      </c>
      <c r="N11" s="5">
        <v>67856</v>
      </c>
      <c r="O11" s="9">
        <f>M11/2854656</f>
        <v>2.209127824858757E-2</v>
      </c>
      <c r="P11" s="9">
        <f t="shared" si="0"/>
        <v>2.4164708613983593E-2</v>
      </c>
      <c r="Q11" s="9">
        <f t="shared" si="1"/>
        <v>2.3127993431285583E-2</v>
      </c>
      <c r="R11" s="9">
        <f t="shared" si="2"/>
        <v>66204.551908864494</v>
      </c>
      <c r="S11" s="9">
        <f t="shared" si="3"/>
        <v>65723.95220536238</v>
      </c>
      <c r="T11" s="9">
        <f t="shared" si="4"/>
        <v>65624.448639222959</v>
      </c>
      <c r="U11" s="9">
        <f t="shared" si="5"/>
        <v>65850.985022083056</v>
      </c>
      <c r="V11" s="9">
        <f t="shared" si="6"/>
        <v>65733.127080356571</v>
      </c>
    </row>
    <row r="12" spans="1:22" x14ac:dyDescent="0.25">
      <c r="A12" s="2" t="s">
        <v>68</v>
      </c>
      <c r="C12" s="5">
        <v>511757</v>
      </c>
      <c r="D12" s="5">
        <v>479980</v>
      </c>
      <c r="E12" s="5">
        <v>501229.20263527532</v>
      </c>
      <c r="F12" s="5">
        <v>497590.62191495387</v>
      </c>
      <c r="G12" s="5">
        <v>496837.28862173739</v>
      </c>
      <c r="H12" s="5">
        <v>498552.37689399323</v>
      </c>
      <c r="I12" s="5">
        <v>497660.08413688611</v>
      </c>
      <c r="J12" s="1" t="s">
        <v>75</v>
      </c>
    </row>
    <row r="13" spans="1:22" x14ac:dyDescent="0.25">
      <c r="A13" s="2" t="s">
        <v>69</v>
      </c>
      <c r="C13" s="5">
        <v>63063</v>
      </c>
      <c r="D13" s="5">
        <v>67856</v>
      </c>
      <c r="E13" s="5">
        <v>66204.551908864494</v>
      </c>
      <c r="F13" s="5">
        <v>65723.95220536238</v>
      </c>
      <c r="G13" s="5">
        <v>65624.448639222959</v>
      </c>
      <c r="H13" s="5">
        <v>65850.985022083056</v>
      </c>
      <c r="I13" s="5">
        <v>65733.127080356571</v>
      </c>
      <c r="J13" s="1" t="s">
        <v>75</v>
      </c>
      <c r="L13" s="2" t="s">
        <v>41</v>
      </c>
      <c r="M13" s="5">
        <v>277060</v>
      </c>
      <c r="N13" s="5">
        <v>286671</v>
      </c>
      <c r="O13" s="9">
        <f t="shared" ref="O13:O14" si="8">M13/2854656</f>
        <v>9.7055477087256745E-2</v>
      </c>
      <c r="P13" s="9">
        <f t="shared" si="0"/>
        <v>0.10208855787372216</v>
      </c>
      <c r="Q13" s="9">
        <f t="shared" si="1"/>
        <v>9.9572017480489453E-2</v>
      </c>
      <c r="R13" s="9">
        <f t="shared" si="2"/>
        <v>285027.78762640798</v>
      </c>
      <c r="S13" s="9">
        <f t="shared" si="3"/>
        <v>282958.6811031634</v>
      </c>
      <c r="T13" s="9">
        <f t="shared" si="4"/>
        <v>282530.29241235711</v>
      </c>
      <c r="U13" s="9">
        <f t="shared" si="5"/>
        <v>283505.59036637674</v>
      </c>
      <c r="V13" s="9">
        <f t="shared" si="6"/>
        <v>282998.18132249796</v>
      </c>
    </row>
    <row r="14" spans="1:22" x14ac:dyDescent="0.25">
      <c r="A14" s="2" t="s">
        <v>70</v>
      </c>
      <c r="C14" s="5">
        <v>1488507</v>
      </c>
      <c r="D14" s="5">
        <v>1456732</v>
      </c>
      <c r="E14" s="5">
        <f>SUM(E5:E13)</f>
        <v>1990029.1784280206</v>
      </c>
      <c r="F14" s="5">
        <f t="shared" ref="F14:I14" si="9">SUM(F5:F13)</f>
        <v>1975582.9295593682</v>
      </c>
      <c r="G14" s="5">
        <f t="shared" si="9"/>
        <v>1972591.9720758453</v>
      </c>
      <c r="H14" s="5">
        <f t="shared" si="9"/>
        <v>1979401.3831944</v>
      </c>
      <c r="I14" s="5">
        <f t="shared" si="9"/>
        <v>1975858.7152632272</v>
      </c>
      <c r="L14" s="2" t="s">
        <v>42</v>
      </c>
      <c r="M14" s="5">
        <v>280666</v>
      </c>
      <c r="N14" s="5">
        <v>282650</v>
      </c>
      <c r="O14" s="9">
        <f t="shared" si="8"/>
        <v>9.8318676576091835E-2</v>
      </c>
      <c r="P14" s="9">
        <f t="shared" si="0"/>
        <v>0.10065660943383729</v>
      </c>
      <c r="Q14" s="9">
        <f t="shared" si="1"/>
        <v>9.9487643004964571E-2</v>
      </c>
      <c r="R14" s="9">
        <f t="shared" si="2"/>
        <v>284786.26324335823</v>
      </c>
      <c r="S14" s="9">
        <f t="shared" si="3"/>
        <v>282718.91002171504</v>
      </c>
      <c r="T14" s="9">
        <f t="shared" si="4"/>
        <v>282290.8843352148</v>
      </c>
      <c r="U14" s="9">
        <f t="shared" si="5"/>
        <v>283265.35584968416</v>
      </c>
      <c r="V14" s="9">
        <f t="shared" si="6"/>
        <v>282758.37676969514</v>
      </c>
    </row>
    <row r="15" spans="1:22" x14ac:dyDescent="0.25">
      <c r="A15" s="2" t="s">
        <v>23</v>
      </c>
      <c r="C15" s="5"/>
      <c r="D15" s="5"/>
      <c r="E15" s="5"/>
      <c r="F15" s="5"/>
      <c r="G15" s="5"/>
      <c r="H15" s="5"/>
      <c r="I15" s="5"/>
    </row>
    <row r="16" spans="1:22" x14ac:dyDescent="0.25">
      <c r="A16" s="2" t="s">
        <v>24</v>
      </c>
      <c r="C16" s="5">
        <v>52683</v>
      </c>
      <c r="D16" s="5">
        <v>52668</v>
      </c>
      <c r="E16" s="5">
        <f>AVERAGE(C16:D16)</f>
        <v>52675.5</v>
      </c>
      <c r="F16" s="5">
        <f t="shared" ref="F16:I21" si="10">AVERAGE(D16:E16)</f>
        <v>52671.75</v>
      </c>
      <c r="G16" s="5">
        <f t="shared" si="10"/>
        <v>52673.625</v>
      </c>
      <c r="H16" s="5">
        <f t="shared" si="10"/>
        <v>52672.6875</v>
      </c>
      <c r="I16" s="5">
        <f t="shared" si="10"/>
        <v>52673.15625</v>
      </c>
      <c r="J16" s="1" t="s">
        <v>72</v>
      </c>
    </row>
    <row r="17" spans="1:14" x14ac:dyDescent="0.25">
      <c r="A17" s="2" t="s">
        <v>25</v>
      </c>
      <c r="C17" s="5">
        <v>311199</v>
      </c>
      <c r="D17" s="5">
        <v>314555</v>
      </c>
      <c r="E17" s="5">
        <f t="shared" ref="E17:E19" si="11">AVERAGE(C17:D17)</f>
        <v>312877</v>
      </c>
      <c r="F17" s="5">
        <f t="shared" si="10"/>
        <v>313716</v>
      </c>
      <c r="G17" s="5">
        <f t="shared" si="10"/>
        <v>313296.5</v>
      </c>
      <c r="H17" s="5">
        <f t="shared" si="10"/>
        <v>313506.25</v>
      </c>
      <c r="I17" s="5">
        <f t="shared" si="10"/>
        <v>313401.375</v>
      </c>
      <c r="J17" s="1" t="s">
        <v>72</v>
      </c>
    </row>
    <row r="18" spans="1:14" x14ac:dyDescent="0.25">
      <c r="A18" s="2" t="s">
        <v>26</v>
      </c>
      <c r="C18" s="5">
        <v>1890210</v>
      </c>
      <c r="D18" s="5">
        <v>1981857</v>
      </c>
      <c r="E18" s="5">
        <f t="shared" si="11"/>
        <v>1936033.5</v>
      </c>
      <c r="F18" s="5">
        <f t="shared" si="10"/>
        <v>1958945.25</v>
      </c>
      <c r="G18" s="5">
        <f t="shared" si="10"/>
        <v>1947489.375</v>
      </c>
      <c r="H18" s="5">
        <f t="shared" si="10"/>
        <v>1953217.3125</v>
      </c>
      <c r="I18" s="5">
        <f t="shared" si="10"/>
        <v>1950353.34375</v>
      </c>
      <c r="J18" s="1" t="s">
        <v>72</v>
      </c>
    </row>
    <row r="19" spans="1:14" x14ac:dyDescent="0.25">
      <c r="A19" s="2" t="s">
        <v>27</v>
      </c>
      <c r="C19" s="5">
        <v>220528</v>
      </c>
      <c r="D19" s="5">
        <v>238911</v>
      </c>
      <c r="E19" s="5">
        <f t="shared" si="11"/>
        <v>229719.5</v>
      </c>
      <c r="F19" s="5">
        <f t="shared" si="10"/>
        <v>234315.25</v>
      </c>
      <c r="G19" s="5">
        <f t="shared" si="10"/>
        <v>232017.375</v>
      </c>
      <c r="H19" s="5">
        <f t="shared" si="10"/>
        <v>233166.3125</v>
      </c>
      <c r="I19" s="5">
        <f t="shared" si="10"/>
        <v>232591.84375</v>
      </c>
      <c r="J19" s="1" t="s">
        <v>72</v>
      </c>
    </row>
    <row r="20" spans="1:14" ht="31.5" x14ac:dyDescent="0.25">
      <c r="A20" s="2" t="s">
        <v>28</v>
      </c>
      <c r="C20" s="5">
        <v>2474620</v>
      </c>
      <c r="D20" s="5">
        <v>2587991</v>
      </c>
      <c r="E20" s="5">
        <f>SUM(E16:E19)</f>
        <v>2531305.5</v>
      </c>
      <c r="F20" s="5">
        <f t="shared" si="10"/>
        <v>2559648.25</v>
      </c>
      <c r="G20" s="5">
        <f t="shared" si="10"/>
        <v>2545476.875</v>
      </c>
      <c r="H20" s="5">
        <f t="shared" si="10"/>
        <v>2552562.5625</v>
      </c>
      <c r="I20" s="5">
        <f t="shared" si="10"/>
        <v>2549019.71875</v>
      </c>
      <c r="L20" s="2" t="s">
        <v>28</v>
      </c>
      <c r="M20" s="5">
        <v>2474620</v>
      </c>
      <c r="N20" s="5">
        <v>2587991</v>
      </c>
    </row>
    <row r="21" spans="1:14" ht="31.5" x14ac:dyDescent="0.25">
      <c r="A21" s="2" t="s">
        <v>29</v>
      </c>
      <c r="C21" s="5">
        <v>1507873</v>
      </c>
      <c r="D21" s="5">
        <v>1586070</v>
      </c>
      <c r="E21" s="5">
        <f>0.61*E20</f>
        <v>1544096.355</v>
      </c>
      <c r="F21" s="5">
        <f t="shared" si="10"/>
        <v>1565083.1775</v>
      </c>
      <c r="G21" s="5">
        <f t="shared" si="10"/>
        <v>1554589.7662499999</v>
      </c>
      <c r="H21" s="5">
        <f t="shared" si="10"/>
        <v>1559836.4718749998</v>
      </c>
      <c r="I21" s="5">
        <f t="shared" si="10"/>
        <v>1557213.1190624998</v>
      </c>
      <c r="J21" s="1" t="s">
        <v>84</v>
      </c>
      <c r="L21" s="2" t="s">
        <v>29</v>
      </c>
      <c r="M21" s="5">
        <v>1507873</v>
      </c>
      <c r="N21" s="5">
        <v>1586070</v>
      </c>
    </row>
    <row r="22" spans="1:14" x14ac:dyDescent="0.25">
      <c r="A22" s="2" t="s">
        <v>30</v>
      </c>
      <c r="C22" s="5">
        <v>966747</v>
      </c>
      <c r="D22" s="5">
        <v>1001921</v>
      </c>
      <c r="E22" s="5">
        <f>E20-E21</f>
        <v>987209.14500000002</v>
      </c>
      <c r="F22" s="5">
        <f t="shared" ref="F22:I22" si="12">F20-F21</f>
        <v>994565.07250000001</v>
      </c>
      <c r="G22" s="5">
        <f t="shared" si="12"/>
        <v>990887.10875000013</v>
      </c>
      <c r="H22" s="5">
        <f t="shared" si="12"/>
        <v>992726.09062500019</v>
      </c>
      <c r="I22" s="5">
        <f t="shared" si="12"/>
        <v>991806.59968750016</v>
      </c>
      <c r="M22" s="10">
        <f>M21/M20</f>
        <v>0.60933517065246379</v>
      </c>
      <c r="N22" s="10">
        <f>N21/N20</f>
        <v>0.61285761812927475</v>
      </c>
    </row>
    <row r="23" spans="1:14" x14ac:dyDescent="0.25">
      <c r="A23" s="2" t="s">
        <v>31</v>
      </c>
      <c r="C23" s="5">
        <v>54613</v>
      </c>
      <c r="D23" s="5">
        <v>18851</v>
      </c>
      <c r="E23" s="5">
        <v>18851</v>
      </c>
      <c r="F23" s="5">
        <v>18851</v>
      </c>
      <c r="G23" s="5">
        <v>18851</v>
      </c>
      <c r="H23" s="5">
        <v>18851</v>
      </c>
      <c r="I23" s="5">
        <v>18851</v>
      </c>
      <c r="J23" s="1" t="s">
        <v>85</v>
      </c>
      <c r="L23" s="2" t="s">
        <v>83</v>
      </c>
      <c r="M23" s="10">
        <f>AVERAGE(M22:N22)</f>
        <v>0.61109639439086927</v>
      </c>
      <c r="N23" s="10"/>
    </row>
    <row r="24" spans="1:14" ht="31.5" x14ac:dyDescent="0.25">
      <c r="A24" s="2" t="s">
        <v>32</v>
      </c>
      <c r="C24" s="5">
        <v>133256</v>
      </c>
      <c r="D24" s="5">
        <v>120321</v>
      </c>
      <c r="E24" s="5">
        <f>AVERAGE(C24:D24)</f>
        <v>126788.5</v>
      </c>
      <c r="F24" s="5">
        <f t="shared" ref="F24:I24" si="13">AVERAGE(D24:E24)</f>
        <v>123554.75</v>
      </c>
      <c r="G24" s="5">
        <f t="shared" si="13"/>
        <v>125171.625</v>
      </c>
      <c r="H24" s="5">
        <f t="shared" si="13"/>
        <v>124363.1875</v>
      </c>
      <c r="I24" s="5">
        <f t="shared" si="13"/>
        <v>124767.40625</v>
      </c>
      <c r="J24" s="1" t="s">
        <v>72</v>
      </c>
    </row>
    <row r="25" spans="1:14" x14ac:dyDescent="0.25">
      <c r="A25" s="2" t="s">
        <v>33</v>
      </c>
      <c r="C25" s="5">
        <v>1422</v>
      </c>
      <c r="D25" s="5">
        <v>2025</v>
      </c>
      <c r="E25" s="5">
        <f>AVERAGE(C25:D25)</f>
        <v>1723.5</v>
      </c>
      <c r="F25" s="5">
        <f t="shared" ref="F25:I28" si="14">AVERAGE(D25:E25)</f>
        <v>1874.25</v>
      </c>
      <c r="G25" s="5">
        <f t="shared" si="14"/>
        <v>1798.875</v>
      </c>
      <c r="H25" s="5">
        <f t="shared" si="14"/>
        <v>1836.5625</v>
      </c>
      <c r="I25" s="5">
        <f t="shared" si="14"/>
        <v>1817.71875</v>
      </c>
      <c r="J25" s="1" t="s">
        <v>72</v>
      </c>
    </row>
    <row r="26" spans="1:14" x14ac:dyDescent="0.25">
      <c r="A26" s="2" t="s">
        <v>34</v>
      </c>
      <c r="C26" s="5">
        <v>58665</v>
      </c>
      <c r="D26" s="5">
        <v>28146</v>
      </c>
      <c r="E26" s="5">
        <f t="shared" ref="E26:E27" si="15">AVERAGE(C26:D26)</f>
        <v>43405.5</v>
      </c>
      <c r="F26" s="5">
        <f t="shared" si="14"/>
        <v>35775.75</v>
      </c>
      <c r="G26" s="5">
        <f t="shared" si="14"/>
        <v>39590.625</v>
      </c>
      <c r="H26" s="5">
        <f t="shared" si="14"/>
        <v>37683.1875</v>
      </c>
      <c r="I26" s="5">
        <f t="shared" si="14"/>
        <v>38636.90625</v>
      </c>
      <c r="J26" s="1" t="s">
        <v>72</v>
      </c>
    </row>
    <row r="27" spans="1:14" x14ac:dyDescent="0.25">
      <c r="A27" s="2" t="s">
        <v>35</v>
      </c>
      <c r="C27" s="5">
        <v>4715</v>
      </c>
      <c r="D27" s="5">
        <v>6209</v>
      </c>
      <c r="E27" s="5">
        <f t="shared" si="15"/>
        <v>5462</v>
      </c>
      <c r="F27" s="5">
        <f t="shared" si="14"/>
        <v>5835.5</v>
      </c>
      <c r="G27" s="5">
        <f t="shared" si="14"/>
        <v>5648.75</v>
      </c>
      <c r="H27" s="5">
        <f t="shared" si="14"/>
        <v>5742.125</v>
      </c>
      <c r="I27" s="5">
        <f t="shared" si="14"/>
        <v>5695.4375</v>
      </c>
      <c r="J27" s="1" t="s">
        <v>72</v>
      </c>
    </row>
    <row r="28" spans="1:14" x14ac:dyDescent="0.25">
      <c r="A28" s="2" t="s">
        <v>36</v>
      </c>
      <c r="C28" s="5">
        <v>2707925</v>
      </c>
      <c r="D28" s="5">
        <v>2634205</v>
      </c>
      <c r="E28" s="5">
        <f>E14+SUM(E22:E27)</f>
        <v>3173468.8234280208</v>
      </c>
      <c r="F28" s="5">
        <f t="shared" si="14"/>
        <v>2903836.9117140104</v>
      </c>
      <c r="G28" s="5">
        <f t="shared" si="14"/>
        <v>3038652.8675710158</v>
      </c>
      <c r="H28" s="5">
        <f t="shared" si="14"/>
        <v>2971244.8896425134</v>
      </c>
      <c r="I28" s="5">
        <f t="shared" si="14"/>
        <v>3004948.8786067646</v>
      </c>
    </row>
    <row r="29" spans="1:14" x14ac:dyDescent="0.25">
      <c r="A29" s="2" t="s">
        <v>38</v>
      </c>
      <c r="C29" s="5"/>
      <c r="D29" s="5"/>
      <c r="E29" s="5"/>
      <c r="F29" s="5"/>
      <c r="G29" s="5"/>
      <c r="H29" s="5"/>
      <c r="I29" s="5"/>
    </row>
    <row r="30" spans="1:14" x14ac:dyDescent="0.25">
      <c r="A30" s="2" t="s">
        <v>39</v>
      </c>
      <c r="C30" s="5"/>
      <c r="D30" s="5"/>
      <c r="E30" s="5"/>
      <c r="F30" s="5"/>
      <c r="G30" s="5"/>
      <c r="H30" s="5"/>
      <c r="I30" s="5"/>
    </row>
    <row r="31" spans="1:14" x14ac:dyDescent="0.25">
      <c r="A31" s="2" t="s">
        <v>40</v>
      </c>
      <c r="C31" s="5">
        <v>39450</v>
      </c>
      <c r="D31" s="5">
        <v>15288</v>
      </c>
      <c r="E31" s="5">
        <f>AVERAGE(C31:D31)</f>
        <v>27369</v>
      </c>
      <c r="F31" s="5">
        <f t="shared" ref="F31:I31" si="16">AVERAGE(D31:E31)</f>
        <v>21328.5</v>
      </c>
      <c r="G31" s="5">
        <f t="shared" si="16"/>
        <v>24348.75</v>
      </c>
      <c r="H31" s="5">
        <f t="shared" si="16"/>
        <v>22838.625</v>
      </c>
      <c r="I31" s="5">
        <f t="shared" si="16"/>
        <v>23593.6875</v>
      </c>
      <c r="J31" s="1" t="s">
        <v>72</v>
      </c>
    </row>
    <row r="32" spans="1:14" x14ac:dyDescent="0.25">
      <c r="A32" s="2" t="s">
        <v>41</v>
      </c>
      <c r="C32" s="5">
        <v>277060</v>
      </c>
      <c r="D32" s="5">
        <v>286671</v>
      </c>
      <c r="E32" s="5">
        <v>285027.78762640798</v>
      </c>
      <c r="F32" s="5">
        <v>282958.6811031634</v>
      </c>
      <c r="G32" s="5">
        <v>282530.29241235711</v>
      </c>
      <c r="H32" s="5">
        <v>283505.59036637674</v>
      </c>
      <c r="I32" s="5">
        <v>282998.18132249796</v>
      </c>
      <c r="J32" s="1" t="s">
        <v>86</v>
      </c>
    </row>
    <row r="33" spans="1:19" x14ac:dyDescent="0.25">
      <c r="A33" s="2" t="s">
        <v>42</v>
      </c>
      <c r="C33" s="5">
        <v>280666</v>
      </c>
      <c r="D33" s="5">
        <v>282650</v>
      </c>
      <c r="E33" s="5">
        <v>284786.26324335823</v>
      </c>
      <c r="F33" s="5">
        <v>282718.91002171504</v>
      </c>
      <c r="G33" s="5">
        <v>282290.8843352148</v>
      </c>
      <c r="H33" s="5">
        <v>283265.35584968416</v>
      </c>
      <c r="I33" s="5">
        <v>282758.37676969514</v>
      </c>
      <c r="J33" s="1" t="s">
        <v>86</v>
      </c>
    </row>
    <row r="34" spans="1:19" x14ac:dyDescent="0.25">
      <c r="A34" s="2" t="s">
        <v>43</v>
      </c>
      <c r="C34" s="5">
        <v>6954</v>
      </c>
      <c r="D34" s="5">
        <v>975</v>
      </c>
      <c r="E34" s="5">
        <f>AVERAGE(C34:D34)</f>
        <v>3964.5</v>
      </c>
      <c r="F34" s="5">
        <f t="shared" ref="F34:I34" si="17">AVERAGE(D34:E34)</f>
        <v>2469.75</v>
      </c>
      <c r="G34" s="5">
        <f t="shared" si="17"/>
        <v>3217.125</v>
      </c>
      <c r="H34" s="5">
        <f t="shared" si="17"/>
        <v>2843.4375</v>
      </c>
      <c r="I34" s="5">
        <f t="shared" si="17"/>
        <v>3030.28125</v>
      </c>
      <c r="J34" s="1" t="s">
        <v>72</v>
      </c>
    </row>
    <row r="35" spans="1:19" x14ac:dyDescent="0.25">
      <c r="A35" s="2" t="s">
        <v>44</v>
      </c>
      <c r="C35" s="5">
        <v>1413</v>
      </c>
      <c r="D35" s="5">
        <v>174760</v>
      </c>
      <c r="E35" s="5">
        <f>AVERAGE(C35:D35)</f>
        <v>88086.5</v>
      </c>
      <c r="F35" s="5">
        <f t="shared" ref="F35:I35" si="18">AVERAGE(D35:E35)</f>
        <v>131423.25</v>
      </c>
      <c r="G35" s="5">
        <f t="shared" si="18"/>
        <v>109754.875</v>
      </c>
      <c r="H35" s="5">
        <f t="shared" si="18"/>
        <v>120589.0625</v>
      </c>
      <c r="I35" s="5">
        <f t="shared" si="18"/>
        <v>115171.96875</v>
      </c>
      <c r="J35" s="1" t="s">
        <v>72</v>
      </c>
    </row>
    <row r="36" spans="1:19" x14ac:dyDescent="0.25">
      <c r="A36" s="2" t="s">
        <v>45</v>
      </c>
      <c r="C36" s="5">
        <v>605543</v>
      </c>
      <c r="D36" s="5">
        <v>760344</v>
      </c>
      <c r="E36" s="5">
        <f>SUM(E31:E35)</f>
        <v>689234.05086976616</v>
      </c>
      <c r="F36" s="5">
        <f t="shared" ref="F36:I36" si="19">SUM(F31:F35)</f>
        <v>720899.0911248785</v>
      </c>
      <c r="G36" s="5">
        <f t="shared" si="19"/>
        <v>702141.92674757191</v>
      </c>
      <c r="H36" s="5">
        <f t="shared" si="19"/>
        <v>713042.0712160609</v>
      </c>
      <c r="I36" s="5">
        <f t="shared" si="19"/>
        <v>707552.4955921931</v>
      </c>
    </row>
    <row r="37" spans="1:19" x14ac:dyDescent="0.25">
      <c r="A37" s="2" t="s">
        <v>46</v>
      </c>
      <c r="C37" s="5">
        <v>295987</v>
      </c>
      <c r="D37" s="5">
        <v>121284</v>
      </c>
      <c r="E37" s="5">
        <f>AVERAGE(C37:D37)</f>
        <v>208635.5</v>
      </c>
      <c r="F37" s="5">
        <f t="shared" ref="F37:I39" si="20">AVERAGE(D37:E37)</f>
        <v>164959.75</v>
      </c>
      <c r="G37" s="5">
        <f t="shared" si="20"/>
        <v>186797.625</v>
      </c>
      <c r="H37" s="5">
        <f t="shared" si="20"/>
        <v>175878.6875</v>
      </c>
      <c r="I37" s="5">
        <f t="shared" si="20"/>
        <v>181338.15625</v>
      </c>
      <c r="J37" s="1" t="s">
        <v>72</v>
      </c>
    </row>
    <row r="38" spans="1:19" x14ac:dyDescent="0.25">
      <c r="A38" s="2" t="s">
        <v>47</v>
      </c>
      <c r="C38" s="5">
        <v>256888</v>
      </c>
      <c r="D38" s="5">
        <v>236454</v>
      </c>
      <c r="E38" s="5">
        <f t="shared" ref="E38:E39" si="21">AVERAGE(C38:D38)</f>
        <v>246671</v>
      </c>
      <c r="F38" s="5">
        <f t="shared" si="20"/>
        <v>241562.5</v>
      </c>
      <c r="G38" s="5">
        <f t="shared" si="20"/>
        <v>244116.75</v>
      </c>
      <c r="H38" s="5">
        <f t="shared" si="20"/>
        <v>242839.625</v>
      </c>
      <c r="I38" s="5">
        <f t="shared" si="20"/>
        <v>243478.1875</v>
      </c>
      <c r="J38" s="1" t="s">
        <v>72</v>
      </c>
    </row>
    <row r="39" spans="1:19" x14ac:dyDescent="0.25">
      <c r="A39" s="2" t="s">
        <v>48</v>
      </c>
      <c r="C39" s="5">
        <v>219534</v>
      </c>
      <c r="D39" s="5">
        <v>147950</v>
      </c>
      <c r="E39" s="5">
        <f t="shared" si="21"/>
        <v>183742</v>
      </c>
      <c r="F39" s="5">
        <f t="shared" si="20"/>
        <v>165846</v>
      </c>
      <c r="G39" s="5">
        <f t="shared" si="20"/>
        <v>174794</v>
      </c>
      <c r="H39" s="5">
        <f t="shared" si="20"/>
        <v>170320</v>
      </c>
      <c r="I39" s="5">
        <f t="shared" si="20"/>
        <v>172557</v>
      </c>
      <c r="J39" s="1" t="s">
        <v>72</v>
      </c>
    </row>
    <row r="40" spans="1:19" x14ac:dyDescent="0.25">
      <c r="A40" s="2" t="s">
        <v>49</v>
      </c>
      <c r="C40" s="5">
        <v>144217</v>
      </c>
      <c r="D40" s="5">
        <v>135730</v>
      </c>
      <c r="E40" s="5">
        <v>483088.39679825492</v>
      </c>
      <c r="F40" s="5">
        <v>313299.13270913204</v>
      </c>
      <c r="G40" s="5">
        <v>401118.40900344402</v>
      </c>
      <c r="H40" s="5">
        <v>355687.20857645292</v>
      </c>
      <c r="I40" s="5">
        <v>378442.31217957195</v>
      </c>
      <c r="J40" s="1" t="s">
        <v>92</v>
      </c>
    </row>
    <row r="41" spans="1:19" ht="16.5" thickBot="1" x14ac:dyDescent="0.3">
      <c r="A41" s="2" t="s">
        <v>50</v>
      </c>
      <c r="C41" s="5"/>
      <c r="D41" s="5"/>
      <c r="E41" s="5"/>
      <c r="F41" s="5"/>
      <c r="G41" s="5"/>
      <c r="H41" s="5"/>
      <c r="I41" s="5"/>
    </row>
    <row r="42" spans="1:19" ht="31.5" x14ac:dyDescent="0.25">
      <c r="A42" s="2" t="s">
        <v>51</v>
      </c>
      <c r="C42" s="5"/>
      <c r="D42" s="5"/>
      <c r="E42" s="5"/>
      <c r="F42" s="5"/>
      <c r="G42" s="5"/>
      <c r="H42" s="5"/>
      <c r="I42" s="5"/>
      <c r="L42" s="11" t="s">
        <v>91</v>
      </c>
      <c r="M42" s="12"/>
      <c r="N42" s="12"/>
      <c r="O42" s="12"/>
      <c r="P42" s="12"/>
      <c r="Q42" s="12"/>
      <c r="R42" s="12"/>
      <c r="S42" s="13"/>
    </row>
    <row r="43" spans="1:19" ht="47.25" x14ac:dyDescent="0.25">
      <c r="A43" s="2" t="s">
        <v>52</v>
      </c>
      <c r="C43" s="5">
        <v>87850</v>
      </c>
      <c r="D43" s="5">
        <v>87850</v>
      </c>
      <c r="E43" s="5">
        <v>87850</v>
      </c>
      <c r="F43" s="5">
        <v>87850</v>
      </c>
      <c r="G43" s="5">
        <v>87850</v>
      </c>
      <c r="H43" s="5">
        <v>87850</v>
      </c>
      <c r="I43" s="5">
        <v>87850</v>
      </c>
      <c r="J43" s="1" t="s">
        <v>72</v>
      </c>
      <c r="L43" s="14"/>
      <c r="M43" s="1">
        <v>2017</v>
      </c>
      <c r="N43" s="1">
        <v>2018</v>
      </c>
      <c r="O43" s="1">
        <v>2019</v>
      </c>
      <c r="P43" s="1">
        <v>2020</v>
      </c>
      <c r="Q43" s="1">
        <v>2021</v>
      </c>
      <c r="R43" s="1">
        <v>2022</v>
      </c>
      <c r="S43" s="15">
        <v>2023</v>
      </c>
    </row>
    <row r="44" spans="1:19" ht="31.5" x14ac:dyDescent="0.25">
      <c r="A44" s="2" t="s">
        <v>53</v>
      </c>
      <c r="C44" s="5">
        <v>20740</v>
      </c>
      <c r="D44" s="5">
        <v>21124</v>
      </c>
      <c r="E44" s="5">
        <f>AVERAGE(C44:D44)</f>
        <v>20932</v>
      </c>
      <c r="F44" s="5">
        <f t="shared" ref="F44:I44" si="22">AVERAGE(D44:E44)</f>
        <v>21028</v>
      </c>
      <c r="G44" s="5">
        <f t="shared" si="22"/>
        <v>20980</v>
      </c>
      <c r="H44" s="5">
        <f t="shared" si="22"/>
        <v>21004</v>
      </c>
      <c r="I44" s="5">
        <f t="shared" si="22"/>
        <v>20992</v>
      </c>
      <c r="L44" s="14" t="s">
        <v>87</v>
      </c>
      <c r="M44" s="5">
        <v>2394372</v>
      </c>
      <c r="N44" s="5">
        <v>2449714</v>
      </c>
      <c r="O44" s="20">
        <f>N44+O45</f>
        <v>2575041.3757599997</v>
      </c>
      <c r="P44" s="20">
        <f t="shared" ref="P44:R44" si="23">O44+P45</f>
        <v>2658093.8076799996</v>
      </c>
      <c r="Q44" s="20">
        <f t="shared" si="23"/>
        <v>2745934.3835733328</v>
      </c>
      <c r="R44" s="20">
        <f t="shared" si="23"/>
        <v>2844674.5114311106</v>
      </c>
      <c r="S44" s="21">
        <f>R44+S45</f>
        <v>2934552.2233214807</v>
      </c>
    </row>
    <row r="45" spans="1:19" x14ac:dyDescent="0.25">
      <c r="A45" s="2" t="s">
        <v>54</v>
      </c>
      <c r="C45" s="5">
        <v>2394372</v>
      </c>
      <c r="D45" s="5">
        <v>2449714</v>
      </c>
      <c r="E45" s="5">
        <v>2575041.3757599997</v>
      </c>
      <c r="F45" s="5">
        <v>2658093.8076799996</v>
      </c>
      <c r="G45" s="5">
        <v>2745934.3835733328</v>
      </c>
      <c r="H45" s="5">
        <v>2844674.5114311106</v>
      </c>
      <c r="I45" s="5">
        <v>2934552.2233214807</v>
      </c>
      <c r="J45" s="1" t="s">
        <v>91</v>
      </c>
      <c r="L45" s="14" t="s">
        <v>88</v>
      </c>
      <c r="N45" s="8">
        <f>N44-M44</f>
        <v>55342</v>
      </c>
      <c r="O45" s="1">
        <f>0.72*O46</f>
        <v>125327.37575999991</v>
      </c>
      <c r="P45" s="1">
        <f t="shared" ref="P45:S45" si="24">0.72*P46</f>
        <v>83052.431919999959</v>
      </c>
      <c r="Q45" s="1">
        <f t="shared" si="24"/>
        <v>87840.575893333269</v>
      </c>
      <c r="R45" s="1">
        <f t="shared" si="24"/>
        <v>98740.127857777697</v>
      </c>
      <c r="S45" s="15">
        <f t="shared" si="24"/>
        <v>89877.711890370279</v>
      </c>
    </row>
    <row r="46" spans="1:19" x14ac:dyDescent="0.25">
      <c r="A46" s="2" t="s">
        <v>55</v>
      </c>
      <c r="C46" s="5">
        <v>-478478</v>
      </c>
      <c r="D46" s="5">
        <v>-461589</v>
      </c>
      <c r="E46" s="5">
        <f>AVERAGE(C46:D46)</f>
        <v>-470033.5</v>
      </c>
      <c r="F46" s="5">
        <f t="shared" ref="F46:I46" si="25">AVERAGE(D46:E46)</f>
        <v>-465811.25</v>
      </c>
      <c r="G46" s="5">
        <f t="shared" si="25"/>
        <v>-467922.375</v>
      </c>
      <c r="H46" s="5">
        <f t="shared" si="25"/>
        <v>-466866.8125</v>
      </c>
      <c r="I46" s="5">
        <f t="shared" si="25"/>
        <v>-467394.59375</v>
      </c>
      <c r="J46" s="1" t="s">
        <v>72</v>
      </c>
      <c r="L46" s="14" t="s">
        <v>89</v>
      </c>
      <c r="N46" s="1">
        <v>76586</v>
      </c>
      <c r="O46" s="1">
        <v>174065.79966666654</v>
      </c>
      <c r="P46" s="1">
        <v>115350.59988888883</v>
      </c>
      <c r="Q46" s="1">
        <v>122000.79985185177</v>
      </c>
      <c r="R46" s="1">
        <v>137139.06646913569</v>
      </c>
      <c r="S46" s="15">
        <v>124830.15540329207</v>
      </c>
    </row>
    <row r="47" spans="1:19" ht="32.25" thickBot="1" x14ac:dyDescent="0.3">
      <c r="A47" s="2" t="s">
        <v>56</v>
      </c>
      <c r="C47" s="5">
        <v>2024484</v>
      </c>
      <c r="D47" s="5">
        <v>2097099</v>
      </c>
      <c r="E47" s="5">
        <f>SUM(E43:E46)</f>
        <v>2213789.8757599997</v>
      </c>
      <c r="F47" s="5">
        <f t="shared" ref="F47:I47" si="26">SUM(F43:F46)</f>
        <v>2301160.5576799996</v>
      </c>
      <c r="G47" s="5">
        <f t="shared" si="26"/>
        <v>2386842.0085733328</v>
      </c>
      <c r="H47" s="5">
        <f t="shared" si="26"/>
        <v>2486661.6989311106</v>
      </c>
      <c r="I47" s="5">
        <f t="shared" si="26"/>
        <v>2575999.6295714807</v>
      </c>
      <c r="L47" s="16" t="s">
        <v>90</v>
      </c>
      <c r="M47" s="17">
        <f>N45/N46</f>
        <v>0.72261248792207455</v>
      </c>
      <c r="N47" s="18"/>
      <c r="O47" s="18"/>
      <c r="P47" s="18"/>
      <c r="Q47" s="18"/>
      <c r="R47" s="18"/>
      <c r="S47" s="19"/>
    </row>
    <row r="48" spans="1:19" ht="31.5" x14ac:dyDescent="0.25">
      <c r="A48" s="2" t="s">
        <v>57</v>
      </c>
      <c r="C48" s="5">
        <v>-897388</v>
      </c>
      <c r="D48" s="5">
        <v>-925056</v>
      </c>
      <c r="E48" s="5">
        <f>AVERAGE(C48:D48)</f>
        <v>-911222</v>
      </c>
      <c r="F48" s="5">
        <f t="shared" ref="F48:I49" si="27">AVERAGE(D48:E48)</f>
        <v>-918139</v>
      </c>
      <c r="G48" s="5">
        <f t="shared" si="27"/>
        <v>-914680.5</v>
      </c>
      <c r="H48" s="5">
        <f t="shared" si="27"/>
        <v>-916409.75</v>
      </c>
      <c r="I48" s="5">
        <f t="shared" si="27"/>
        <v>-915545.125</v>
      </c>
      <c r="J48" s="1" t="s">
        <v>72</v>
      </c>
    </row>
    <row r="49" spans="1:10" x14ac:dyDescent="0.25">
      <c r="A49" s="2" t="s">
        <v>58</v>
      </c>
      <c r="C49" s="5">
        <v>1127096</v>
      </c>
      <c r="D49" s="5">
        <v>1172043</v>
      </c>
      <c r="E49" s="5">
        <f>E47+E48</f>
        <v>1302567.8757599997</v>
      </c>
      <c r="F49" s="5">
        <f t="shared" si="27"/>
        <v>1237305.4378799999</v>
      </c>
      <c r="G49" s="5">
        <f t="shared" si="27"/>
        <v>1269936.6568199997</v>
      </c>
      <c r="H49" s="5">
        <f t="shared" si="27"/>
        <v>1253621.0473499997</v>
      </c>
      <c r="I49" s="5">
        <f t="shared" si="27"/>
        <v>1261778.8520849997</v>
      </c>
    </row>
    <row r="50" spans="1:10" ht="31.5" x14ac:dyDescent="0.25">
      <c r="A50" s="2" t="s">
        <v>59</v>
      </c>
      <c r="C50" s="5">
        <v>58660</v>
      </c>
      <c r="D50" s="5">
        <v>60400</v>
      </c>
      <c r="E50" s="5">
        <f>AVERAGE(C50:D50)</f>
        <v>59530</v>
      </c>
      <c r="F50" s="5">
        <f t="shared" ref="F50:I50" si="28">AVERAGE(D50:E50)</f>
        <v>59965</v>
      </c>
      <c r="G50" s="5">
        <f t="shared" si="28"/>
        <v>59747.5</v>
      </c>
      <c r="H50" s="5">
        <f t="shared" si="28"/>
        <v>59856.25</v>
      </c>
      <c r="I50" s="5">
        <f t="shared" si="28"/>
        <v>59801.875</v>
      </c>
      <c r="J50" s="1" t="s">
        <v>72</v>
      </c>
    </row>
    <row r="51" spans="1:10" x14ac:dyDescent="0.25">
      <c r="A51" s="2" t="s">
        <v>60</v>
      </c>
      <c r="C51" s="5">
        <v>1185756</v>
      </c>
      <c r="D51" s="5">
        <v>1232443</v>
      </c>
      <c r="E51" s="5">
        <f>SUM(E49:E50)</f>
        <v>1362097.8757599997</v>
      </c>
      <c r="F51" s="5">
        <f t="shared" ref="F51:I51" si="29">SUM(F49:F50)</f>
        <v>1297270.4378799999</v>
      </c>
      <c r="G51" s="5">
        <f t="shared" si="29"/>
        <v>1329684.1568199997</v>
      </c>
      <c r="H51" s="5">
        <f t="shared" si="29"/>
        <v>1313477.2973499997</v>
      </c>
      <c r="I51" s="5">
        <f t="shared" si="29"/>
        <v>1321580.7270849997</v>
      </c>
    </row>
    <row r="52" spans="1:10" x14ac:dyDescent="0.25">
      <c r="A52" s="2" t="s">
        <v>61</v>
      </c>
      <c r="C52" s="5">
        <v>2707925</v>
      </c>
      <c r="D52" s="5">
        <v>2634205</v>
      </c>
      <c r="E52" s="5">
        <f>SUM(E36:E40)+E51</f>
        <v>3173468.8234280208</v>
      </c>
      <c r="F52" s="5">
        <f t="shared" ref="F52:I52" si="30">SUM(F36:F40)+F51</f>
        <v>2903836.9117140104</v>
      </c>
      <c r="G52" s="5">
        <f t="shared" si="30"/>
        <v>3038652.8675710158</v>
      </c>
      <c r="H52" s="5">
        <f t="shared" si="30"/>
        <v>2971244.8896425134</v>
      </c>
      <c r="I52" s="5">
        <f t="shared" si="30"/>
        <v>3004948.8786067646</v>
      </c>
    </row>
  </sheetData>
  <mergeCells count="1">
    <mergeCell ref="O2:P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UWEZO KENYA LIMITED</dc:creator>
  <cp:lastModifiedBy>Scofied</cp:lastModifiedBy>
  <dcterms:created xsi:type="dcterms:W3CDTF">2020-03-20T15:12:59Z</dcterms:created>
  <dcterms:modified xsi:type="dcterms:W3CDTF">2020-03-20T17:22:55Z</dcterms:modified>
</cp:coreProperties>
</file>